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80" windowWidth="10880" windowHeight="6830" tabRatio="727"/>
  </bookViews>
  <sheets>
    <sheet name="Excel Instructions" sheetId="58" r:id="rId1"/>
    <sheet name="Continuing Problem-A" sheetId="28" r:id="rId2"/>
    <sheet name="CPP-A-2" sheetId="64" r:id="rId3"/>
    <sheet name="CPP-A-3" sheetId="63" r:id="rId4"/>
    <sheet name="CPP-A-4" sheetId="62" r:id="rId5"/>
    <sheet name="CPP-A-5" sheetId="61" r:id="rId6"/>
    <sheet name="CPP-A-6" sheetId="60" r:id="rId7"/>
    <sheet name="Continuing Problem-B" sheetId="65" r:id="rId8"/>
    <sheet name="CPP-B-2" sheetId="53" r:id="rId9"/>
    <sheet name="CPP-B-3" sheetId="54" r:id="rId10"/>
    <sheet name="CPP-B-4" sheetId="55" r:id="rId11"/>
    <sheet name="CPP-B-5" sheetId="56" r:id="rId12"/>
    <sheet name="CPP-B-6" sheetId="57" r:id="rId13"/>
  </sheets>
  <calcPr calcId="145621" fullPrecision="0"/>
</workbook>
</file>

<file path=xl/calcChain.xml><?xml version="1.0" encoding="utf-8"?>
<calcChain xmlns="http://schemas.openxmlformats.org/spreadsheetml/2006/main">
  <c r="Z26" i="65" l="1"/>
  <c r="Z25" i="65"/>
  <c r="Z24" i="65"/>
  <c r="Z23" i="65"/>
  <c r="Z22" i="65"/>
  <c r="Z21" i="65"/>
  <c r="Z20" i="65"/>
  <c r="Z19" i="65"/>
  <c r="Z18" i="65"/>
  <c r="Z17" i="65"/>
  <c r="O45" i="28" l="1"/>
  <c r="AA18" i="62"/>
  <c r="AU27" i="55" l="1"/>
  <c r="AU27" i="54"/>
  <c r="BK26" i="57"/>
  <c r="BJ26" i="57"/>
  <c r="BI26" i="57"/>
  <c r="BH26" i="57"/>
  <c r="BK25" i="57"/>
  <c r="BJ25" i="57"/>
  <c r="BI25" i="57"/>
  <c r="BH25" i="57"/>
  <c r="BK24" i="57"/>
  <c r="BJ24" i="57"/>
  <c r="BI24" i="57"/>
  <c r="BH24" i="57"/>
  <c r="BK23" i="57"/>
  <c r="BJ23" i="57"/>
  <c r="BI23" i="57"/>
  <c r="BH23" i="57"/>
  <c r="BK22" i="57"/>
  <c r="BJ22" i="57"/>
  <c r="BI22" i="57"/>
  <c r="BH22" i="57"/>
  <c r="BK21" i="57"/>
  <c r="BJ21" i="57"/>
  <c r="BI21" i="57"/>
  <c r="BH21" i="57"/>
  <c r="BK20" i="57"/>
  <c r="BJ20" i="57"/>
  <c r="BI20" i="57"/>
  <c r="BH20" i="57"/>
  <c r="BK19" i="57"/>
  <c r="BJ19" i="57"/>
  <c r="BI19" i="57"/>
  <c r="BH19" i="57"/>
  <c r="BK18" i="57"/>
  <c r="BJ18" i="57"/>
  <c r="BI18" i="57"/>
  <c r="BH18" i="57"/>
  <c r="BK17" i="57"/>
  <c r="BJ17" i="57"/>
  <c r="BI17" i="57"/>
  <c r="BH17" i="57"/>
  <c r="AU27" i="57"/>
  <c r="AW27" i="57"/>
  <c r="AT27" i="57"/>
  <c r="AW26" i="57"/>
  <c r="AT26" i="57"/>
  <c r="AT25" i="57"/>
  <c r="AU25" i="57" s="1"/>
  <c r="AT24" i="57"/>
  <c r="AW24" i="57" s="1"/>
  <c r="AW23" i="57"/>
  <c r="AW22" i="57"/>
  <c r="AU22" i="57"/>
  <c r="AW21" i="57"/>
  <c r="AT21" i="57"/>
  <c r="AU20" i="57"/>
  <c r="AT20" i="57"/>
  <c r="AW20" i="57" s="1"/>
  <c r="AT19" i="57"/>
  <c r="AW19" i="57" s="1"/>
  <c r="AU18" i="57"/>
  <c r="AT18" i="57"/>
  <c r="AW18" i="57" s="1"/>
  <c r="AW17" i="57"/>
  <c r="AT17" i="57"/>
  <c r="Z26" i="57"/>
  <c r="Z25" i="57"/>
  <c r="Z24" i="57"/>
  <c r="Z23" i="57"/>
  <c r="Z22" i="57"/>
  <c r="Z21" i="57"/>
  <c r="Z20" i="57"/>
  <c r="Z19" i="57"/>
  <c r="Z18" i="57"/>
  <c r="Z17" i="57"/>
  <c r="K25" i="57"/>
  <c r="K22" i="57"/>
  <c r="K20" i="57"/>
  <c r="K18" i="57"/>
  <c r="H26" i="57"/>
  <c r="H25" i="57"/>
  <c r="H24" i="57"/>
  <c r="H21" i="57"/>
  <c r="H20" i="57"/>
  <c r="H19" i="57"/>
  <c r="H18" i="57"/>
  <c r="H17" i="57"/>
  <c r="AU27" i="56"/>
  <c r="L27" i="56"/>
  <c r="AW27" i="56"/>
  <c r="AT27" i="56"/>
  <c r="BK26" i="56"/>
  <c r="BJ26" i="56"/>
  <c r="BI26" i="56"/>
  <c r="BH26" i="56"/>
  <c r="BK25" i="56"/>
  <c r="BJ25" i="56"/>
  <c r="BI25" i="56"/>
  <c r="BH25" i="56"/>
  <c r="BK24" i="56"/>
  <c r="BJ24" i="56"/>
  <c r="BI24" i="56"/>
  <c r="BH24" i="56"/>
  <c r="BK23" i="56"/>
  <c r="BJ23" i="56"/>
  <c r="BI23" i="56"/>
  <c r="BH23" i="56"/>
  <c r="BK22" i="56"/>
  <c r="BJ22" i="56"/>
  <c r="BI22" i="56"/>
  <c r="BH22" i="56"/>
  <c r="BK21" i="56"/>
  <c r="BJ21" i="56"/>
  <c r="BI21" i="56"/>
  <c r="BH21" i="56"/>
  <c r="BK20" i="56"/>
  <c r="BJ20" i="56"/>
  <c r="BI20" i="56"/>
  <c r="BH20" i="56"/>
  <c r="BK19" i="56"/>
  <c r="BJ19" i="56"/>
  <c r="BI19" i="56"/>
  <c r="BH19" i="56"/>
  <c r="BK18" i="56"/>
  <c r="BJ18" i="56"/>
  <c r="BI18" i="56"/>
  <c r="BH18" i="56"/>
  <c r="BK17" i="56"/>
  <c r="BJ17" i="56"/>
  <c r="BI17" i="56"/>
  <c r="BH17" i="56"/>
  <c r="AW26" i="56"/>
  <c r="AT26" i="56"/>
  <c r="AT25" i="56"/>
  <c r="AU25" i="56" s="1"/>
  <c r="AT24" i="56"/>
  <c r="AW24" i="56" s="1"/>
  <c r="AW23" i="56"/>
  <c r="AW22" i="56"/>
  <c r="AU22" i="56"/>
  <c r="AW21" i="56"/>
  <c r="AT21" i="56"/>
  <c r="AU20" i="56"/>
  <c r="AT20" i="56"/>
  <c r="AW20" i="56" s="1"/>
  <c r="AT19" i="56"/>
  <c r="AW19" i="56" s="1"/>
  <c r="AU18" i="56"/>
  <c r="AT18" i="56"/>
  <c r="AW18" i="56" s="1"/>
  <c r="AW17" i="56"/>
  <c r="AT17" i="56"/>
  <c r="Z26" i="56"/>
  <c r="Z25" i="56"/>
  <c r="Z24" i="56"/>
  <c r="Z23" i="56"/>
  <c r="Z22" i="56"/>
  <c r="Z21" i="56"/>
  <c r="Z20" i="56"/>
  <c r="Z19" i="56"/>
  <c r="Z18" i="56"/>
  <c r="Z17" i="56"/>
  <c r="K25" i="56"/>
  <c r="K22" i="56"/>
  <c r="K20" i="56"/>
  <c r="K18" i="56"/>
  <c r="H26" i="56"/>
  <c r="H25" i="56"/>
  <c r="H24" i="56"/>
  <c r="H21" i="56"/>
  <c r="H20" i="56"/>
  <c r="H19" i="56"/>
  <c r="H18" i="56"/>
  <c r="H17" i="56"/>
  <c r="Z26" i="55"/>
  <c r="Z25" i="55"/>
  <c r="Z24" i="55"/>
  <c r="Z23" i="55"/>
  <c r="Z22" i="55"/>
  <c r="Z21" i="55"/>
  <c r="Z20" i="55"/>
  <c r="Z19" i="55"/>
  <c r="Z18" i="55"/>
  <c r="Z17" i="55"/>
  <c r="U26" i="55"/>
  <c r="V26" i="55"/>
  <c r="W26" i="55"/>
  <c r="T27" i="55"/>
  <c r="V27" i="55"/>
  <c r="W27" i="55"/>
  <c r="U35" i="55"/>
  <c r="W35" i="55"/>
  <c r="BK26" i="55"/>
  <c r="BJ26" i="55"/>
  <c r="BI26" i="55"/>
  <c r="BH26" i="55"/>
  <c r="BK25" i="55"/>
  <c r="BJ25" i="55"/>
  <c r="BI25" i="55"/>
  <c r="BH25" i="55"/>
  <c r="BK24" i="55"/>
  <c r="BJ24" i="55"/>
  <c r="BI24" i="55"/>
  <c r="BH24" i="55"/>
  <c r="BK23" i="55"/>
  <c r="BJ23" i="55"/>
  <c r="BI23" i="55"/>
  <c r="BH23" i="55"/>
  <c r="BK22" i="55"/>
  <c r="BJ22" i="55"/>
  <c r="BI22" i="55"/>
  <c r="BH22" i="55"/>
  <c r="BK21" i="55"/>
  <c r="BJ21" i="55"/>
  <c r="BI21" i="55"/>
  <c r="BH21" i="55"/>
  <c r="BK20" i="55"/>
  <c r="BJ20" i="55"/>
  <c r="BI20" i="55"/>
  <c r="BH20" i="55"/>
  <c r="BK19" i="55"/>
  <c r="BJ19" i="55"/>
  <c r="BI19" i="55"/>
  <c r="BH19" i="55"/>
  <c r="BK18" i="55"/>
  <c r="BJ18" i="55"/>
  <c r="BI18" i="55"/>
  <c r="BH18" i="55"/>
  <c r="BK17" i="55"/>
  <c r="BJ17" i="55"/>
  <c r="BI17" i="55"/>
  <c r="BH17" i="55"/>
  <c r="BI27" i="55"/>
  <c r="BH27" i="55"/>
  <c r="AW27" i="55"/>
  <c r="AT27" i="55"/>
  <c r="AT26" i="55"/>
  <c r="AW26" i="55" s="1"/>
  <c r="AU25" i="55"/>
  <c r="AT25" i="55"/>
  <c r="AW25" i="55" s="1"/>
  <c r="AW24" i="55"/>
  <c r="AT24" i="55"/>
  <c r="AW23" i="55"/>
  <c r="AU22" i="55"/>
  <c r="AW22" i="55" s="1"/>
  <c r="AT21" i="55"/>
  <c r="AW21" i="55" s="1"/>
  <c r="AU20" i="55"/>
  <c r="AT20" i="55"/>
  <c r="AW20" i="55" s="1"/>
  <c r="AW19" i="55"/>
  <c r="AT19" i="55"/>
  <c r="AU18" i="55"/>
  <c r="AT18" i="55"/>
  <c r="AW18" i="55" s="1"/>
  <c r="AT17" i="55"/>
  <c r="AW17" i="55" s="1"/>
  <c r="H26" i="55"/>
  <c r="H25" i="55"/>
  <c r="H24" i="55"/>
  <c r="H21" i="55"/>
  <c r="H20" i="55"/>
  <c r="H19" i="55"/>
  <c r="H18" i="55"/>
  <c r="H17" i="55"/>
  <c r="BK26" i="54"/>
  <c r="BJ26" i="54"/>
  <c r="BI26" i="54"/>
  <c r="BH26" i="54"/>
  <c r="BK25" i="54"/>
  <c r="BJ25" i="54"/>
  <c r="BI25" i="54"/>
  <c r="BH25" i="54"/>
  <c r="BK24" i="54"/>
  <c r="BJ24" i="54"/>
  <c r="BI24" i="54"/>
  <c r="BH24" i="54"/>
  <c r="BK23" i="54"/>
  <c r="BJ23" i="54"/>
  <c r="BI23" i="54"/>
  <c r="BH23" i="54"/>
  <c r="BK22" i="54"/>
  <c r="BJ22" i="54"/>
  <c r="BI22" i="54"/>
  <c r="BH22" i="54"/>
  <c r="BK21" i="54"/>
  <c r="BJ21" i="54"/>
  <c r="BI21" i="54"/>
  <c r="BH21" i="54"/>
  <c r="BK20" i="54"/>
  <c r="BJ20" i="54"/>
  <c r="BI20" i="54"/>
  <c r="BH20" i="54"/>
  <c r="BK19" i="54"/>
  <c r="BJ19" i="54"/>
  <c r="BI19" i="54"/>
  <c r="BH19" i="54"/>
  <c r="BK18" i="54"/>
  <c r="BJ18" i="54"/>
  <c r="BI18" i="54"/>
  <c r="BH18" i="54"/>
  <c r="BK17" i="54"/>
  <c r="BJ17" i="54"/>
  <c r="BI17" i="54"/>
  <c r="BH17" i="54"/>
  <c r="BH27" i="54"/>
  <c r="AW27" i="54"/>
  <c r="AT27" i="54"/>
  <c r="AW26" i="54"/>
  <c r="AT26" i="54"/>
  <c r="AT25" i="54"/>
  <c r="AU25" i="54" s="1"/>
  <c r="AT24" i="54"/>
  <c r="AW24" i="54" s="1"/>
  <c r="AW23" i="54"/>
  <c r="AW22" i="54"/>
  <c r="AU22" i="54"/>
  <c r="AW21" i="54"/>
  <c r="AT21" i="54"/>
  <c r="AU20" i="54"/>
  <c r="AT20" i="54"/>
  <c r="AW20" i="54" s="1"/>
  <c r="AT19" i="54"/>
  <c r="AW19" i="54" s="1"/>
  <c r="AU18" i="54"/>
  <c r="AT18" i="54"/>
  <c r="AW18" i="54" s="1"/>
  <c r="AW17" i="54"/>
  <c r="AT17" i="54"/>
  <c r="K20" i="54"/>
  <c r="K18" i="54"/>
  <c r="H26" i="54"/>
  <c r="H25" i="54"/>
  <c r="H24" i="54"/>
  <c r="H21" i="54"/>
  <c r="H20" i="54"/>
  <c r="H19" i="54"/>
  <c r="H18" i="54"/>
  <c r="H17" i="54"/>
  <c r="H27" i="54" s="1"/>
  <c r="K25" i="53"/>
  <c r="H24" i="53"/>
  <c r="AW25" i="57" l="1"/>
  <c r="AW25" i="56"/>
  <c r="AW25" i="54"/>
  <c r="BK26" i="53"/>
  <c r="BK25" i="53"/>
  <c r="BK24" i="53"/>
  <c r="BK23" i="53"/>
  <c r="BK22" i="53"/>
  <c r="BK21" i="53"/>
  <c r="BK20" i="53"/>
  <c r="BK19" i="53"/>
  <c r="BK18" i="53"/>
  <c r="BJ26" i="53"/>
  <c r="BJ25" i="53"/>
  <c r="BJ24" i="53"/>
  <c r="BJ23" i="53"/>
  <c r="BJ22" i="53"/>
  <c r="BJ21" i="53"/>
  <c r="BJ20" i="53"/>
  <c r="BJ19" i="53"/>
  <c r="BJ18" i="53"/>
  <c r="BJ17" i="53"/>
  <c r="BI26" i="53"/>
  <c r="BI25" i="53"/>
  <c r="BI24" i="53"/>
  <c r="BI23" i="53"/>
  <c r="BI22" i="53"/>
  <c r="BI21" i="53"/>
  <c r="BI20" i="53"/>
  <c r="BI19" i="53"/>
  <c r="BI18" i="53"/>
  <c r="BK17" i="53"/>
  <c r="BI17" i="53"/>
  <c r="BH26" i="53"/>
  <c r="BH25" i="53"/>
  <c r="BH24" i="53"/>
  <c r="BH23" i="53"/>
  <c r="BH22" i="53"/>
  <c r="BH21" i="53"/>
  <c r="BH20" i="53"/>
  <c r="BH19" i="53"/>
  <c r="BH18" i="53"/>
  <c r="BH17" i="53"/>
  <c r="AW27" i="53"/>
  <c r="AU27" i="53"/>
  <c r="AT27" i="53"/>
  <c r="AT26" i="53"/>
  <c r="AW26" i="53" s="1"/>
  <c r="AT25" i="53"/>
  <c r="AT24" i="53"/>
  <c r="AU25" i="53"/>
  <c r="AW25" i="53" s="1"/>
  <c r="AW24" i="53"/>
  <c r="AW23" i="53"/>
  <c r="AU22" i="53"/>
  <c r="AW22" i="53" s="1"/>
  <c r="AT21" i="53"/>
  <c r="AW21" i="53" s="1"/>
  <c r="AU20" i="53"/>
  <c r="AT20" i="53"/>
  <c r="AW20" i="53" s="1"/>
  <c r="AW19" i="53"/>
  <c r="AT19" i="53"/>
  <c r="AU18" i="53"/>
  <c r="AT18" i="53"/>
  <c r="AW18" i="53" s="1"/>
  <c r="AT17" i="53"/>
  <c r="AW17" i="53" s="1"/>
  <c r="K22" i="65"/>
  <c r="K20" i="53"/>
  <c r="K18" i="53"/>
  <c r="H26" i="53"/>
  <c r="H25" i="53"/>
  <c r="H24" i="65"/>
  <c r="L19" i="64"/>
  <c r="AV26" i="60"/>
  <c r="AV23" i="60"/>
  <c r="AU27" i="60"/>
  <c r="AU26" i="60"/>
  <c r="AU25" i="60"/>
  <c r="AU24" i="60"/>
  <c r="I27" i="60"/>
  <c r="I26" i="60"/>
  <c r="I25" i="60"/>
  <c r="I24" i="60"/>
  <c r="AU27" i="61"/>
  <c r="AU26" i="61"/>
  <c r="AU25" i="61"/>
  <c r="AU24" i="61"/>
  <c r="I27" i="61"/>
  <c r="I26" i="61"/>
  <c r="I25" i="61"/>
  <c r="I24" i="61"/>
  <c r="I27" i="62"/>
  <c r="I26" i="62"/>
  <c r="I25" i="62"/>
  <c r="I24" i="62"/>
  <c r="AU27" i="62"/>
  <c r="AX27" i="62" s="1"/>
  <c r="BL27" i="62" s="1"/>
  <c r="AU26" i="62"/>
  <c r="AU25" i="62"/>
  <c r="AU24" i="62"/>
  <c r="AU27" i="63"/>
  <c r="AU26" i="63"/>
  <c r="AU25" i="63"/>
  <c r="AU24" i="63"/>
  <c r="I27" i="63"/>
  <c r="I26" i="63"/>
  <c r="I25" i="63"/>
  <c r="I24" i="63"/>
  <c r="I27" i="64"/>
  <c r="I26" i="64"/>
  <c r="I25" i="64"/>
  <c r="I24" i="64"/>
  <c r="AU27" i="64"/>
  <c r="AU26" i="64"/>
  <c r="AU25" i="64"/>
  <c r="AU24" i="64"/>
  <c r="AU28" i="28"/>
  <c r="AU27" i="28"/>
  <c r="AU26" i="28"/>
  <c r="AU25" i="28"/>
  <c r="AU24" i="28"/>
  <c r="I27" i="28"/>
  <c r="I26" i="28"/>
  <c r="I25" i="28"/>
  <c r="I24" i="28"/>
  <c r="L21" i="28"/>
  <c r="L23" i="28"/>
  <c r="L19" i="28"/>
  <c r="H25" i="65"/>
  <c r="K25" i="65"/>
  <c r="BK26" i="65"/>
  <c r="BK25" i="65"/>
  <c r="BK24" i="65"/>
  <c r="BK23" i="65"/>
  <c r="BK22" i="65"/>
  <c r="BK21" i="65"/>
  <c r="BK20" i="65"/>
  <c r="BK19" i="65"/>
  <c r="BK18" i="65"/>
  <c r="BJ26" i="65"/>
  <c r="BJ25" i="65"/>
  <c r="BJ24" i="65"/>
  <c r="BJ23" i="65"/>
  <c r="BJ22" i="65"/>
  <c r="BJ21" i="65"/>
  <c r="BJ20" i="65"/>
  <c r="BJ19" i="65"/>
  <c r="BJ18" i="65"/>
  <c r="BI26" i="65"/>
  <c r="BI25" i="65"/>
  <c r="BI24" i="65"/>
  <c r="BI23" i="65"/>
  <c r="BI22" i="65"/>
  <c r="BI21" i="65"/>
  <c r="BI20" i="65"/>
  <c r="BI19" i="65"/>
  <c r="BI18" i="65"/>
  <c r="BK17" i="65"/>
  <c r="BJ17" i="65"/>
  <c r="BI17" i="65"/>
  <c r="BH26" i="65"/>
  <c r="BH25" i="65"/>
  <c r="BH24" i="65"/>
  <c r="BH23" i="65"/>
  <c r="BH22" i="65"/>
  <c r="BH21" i="65"/>
  <c r="BH20" i="65"/>
  <c r="BH19" i="65"/>
  <c r="BH18" i="65"/>
  <c r="BH17" i="65"/>
  <c r="AW27" i="65"/>
  <c r="AU27" i="65"/>
  <c r="AW26" i="65"/>
  <c r="AW25" i="65"/>
  <c r="AW24" i="65"/>
  <c r="AW23" i="65"/>
  <c r="AW22" i="65"/>
  <c r="AW21" i="65"/>
  <c r="AW20" i="65"/>
  <c r="AW19" i="65"/>
  <c r="AW18" i="65"/>
  <c r="AW17" i="65"/>
  <c r="AX17" i="65"/>
  <c r="AU25" i="65"/>
  <c r="AU22" i="65"/>
  <c r="AU20" i="65"/>
  <c r="AU18" i="65"/>
  <c r="AT27" i="65"/>
  <c r="AT26" i="65"/>
  <c r="AT25" i="65"/>
  <c r="AT24" i="65"/>
  <c r="AT21" i="65"/>
  <c r="AT20" i="65"/>
  <c r="AT19" i="65"/>
  <c r="AT18" i="65"/>
  <c r="AT17" i="65"/>
  <c r="K20" i="65"/>
  <c r="K18" i="65"/>
  <c r="AR23" i="60"/>
  <c r="AR22" i="60"/>
  <c r="AR21" i="60"/>
  <c r="AR20" i="60"/>
  <c r="AR19" i="60"/>
  <c r="AR18" i="60"/>
  <c r="AP23" i="60"/>
  <c r="AP22" i="60"/>
  <c r="AP21" i="60"/>
  <c r="AP20" i="60"/>
  <c r="AP19" i="60"/>
  <c r="AN23" i="60"/>
  <c r="AN22" i="60"/>
  <c r="AN21" i="60"/>
  <c r="AN20" i="60"/>
  <c r="AN19" i="60"/>
  <c r="AL23" i="60"/>
  <c r="AL22" i="60"/>
  <c r="AL21" i="60"/>
  <c r="AL20" i="60"/>
  <c r="AL19" i="60"/>
  <c r="AL18" i="60"/>
  <c r="AP18" i="60"/>
  <c r="AN18" i="60"/>
  <c r="Y23" i="60"/>
  <c r="Y22" i="60"/>
  <c r="Y21" i="60"/>
  <c r="Y20" i="60"/>
  <c r="Y19" i="60"/>
  <c r="Y18" i="60"/>
  <c r="S18" i="60"/>
  <c r="Q23" i="60"/>
  <c r="Q22" i="60"/>
  <c r="Q21" i="60"/>
  <c r="Q20" i="60"/>
  <c r="Q19" i="60"/>
  <c r="Q18" i="60"/>
  <c r="L26" i="60"/>
  <c r="L21" i="60"/>
  <c r="L19" i="60"/>
  <c r="BL22" i="60"/>
  <c r="BL21" i="60"/>
  <c r="BL20" i="60"/>
  <c r="BL19" i="60"/>
  <c r="BK22" i="60"/>
  <c r="BK21" i="60"/>
  <c r="BK20" i="60"/>
  <c r="BK19" i="60"/>
  <c r="BJ22" i="60"/>
  <c r="BJ21" i="60"/>
  <c r="BJ20" i="60"/>
  <c r="BJ19" i="60"/>
  <c r="BL18" i="60"/>
  <c r="BK18" i="60"/>
  <c r="BJ18" i="60"/>
  <c r="BI22" i="60"/>
  <c r="BI21" i="60"/>
  <c r="BI20" i="60"/>
  <c r="BI19" i="60"/>
  <c r="BI18" i="60"/>
  <c r="AX27" i="60"/>
  <c r="BL27" i="60" s="1"/>
  <c r="AX26" i="60"/>
  <c r="BK26" i="60" s="1"/>
  <c r="AX25" i="60"/>
  <c r="BL25" i="60" s="1"/>
  <c r="AX24" i="60"/>
  <c r="BK24" i="60" s="1"/>
  <c r="AX23" i="60"/>
  <c r="BL23" i="60" s="1"/>
  <c r="AU22" i="60"/>
  <c r="AX22" i="60" s="1"/>
  <c r="AV21" i="60"/>
  <c r="AU21" i="60"/>
  <c r="AX21" i="60" s="1"/>
  <c r="AU20" i="60"/>
  <c r="AX20" i="60" s="1"/>
  <c r="AV19" i="60"/>
  <c r="AU19" i="60"/>
  <c r="AX18" i="60"/>
  <c r="AX24" i="62"/>
  <c r="BL23" i="61"/>
  <c r="BL22" i="61"/>
  <c r="BL21" i="61"/>
  <c r="BL20" i="61"/>
  <c r="BL19" i="61"/>
  <c r="BK23" i="61"/>
  <c r="BK22" i="61"/>
  <c r="BK21" i="61"/>
  <c r="BK20" i="61"/>
  <c r="BK19" i="61"/>
  <c r="BL18" i="61"/>
  <c r="BK18" i="61"/>
  <c r="BJ23" i="61"/>
  <c r="BJ22" i="61"/>
  <c r="BJ21" i="61"/>
  <c r="BJ20" i="61"/>
  <c r="BJ19" i="61"/>
  <c r="BJ18" i="61"/>
  <c r="BI23" i="61"/>
  <c r="BI22" i="61"/>
  <c r="BI21" i="61"/>
  <c r="BI20" i="61"/>
  <c r="BI19" i="61"/>
  <c r="BI18" i="61"/>
  <c r="AX27" i="61"/>
  <c r="BK27" i="61" s="1"/>
  <c r="AV26" i="61"/>
  <c r="AX26" i="61" s="1"/>
  <c r="BL26" i="61" s="1"/>
  <c r="AX25" i="61"/>
  <c r="BK25" i="61" s="1"/>
  <c r="AX24" i="61"/>
  <c r="BL24" i="61" s="1"/>
  <c r="AV23" i="61"/>
  <c r="AX23" i="61" s="1"/>
  <c r="AU22" i="61"/>
  <c r="AX22" i="61" s="1"/>
  <c r="AV21" i="61"/>
  <c r="AU21" i="61"/>
  <c r="AX20" i="61"/>
  <c r="AU20" i="61"/>
  <c r="AV19" i="61"/>
  <c r="AU19" i="61"/>
  <c r="AX18" i="61"/>
  <c r="AR23" i="61"/>
  <c r="AR22" i="61"/>
  <c r="AR21" i="61"/>
  <c r="AR20" i="61"/>
  <c r="AR19" i="61"/>
  <c r="AP23" i="61"/>
  <c r="AP22" i="61"/>
  <c r="AP21" i="61"/>
  <c r="AP20" i="61"/>
  <c r="AP19" i="61"/>
  <c r="AP18" i="61"/>
  <c r="AN23" i="61"/>
  <c r="AN22" i="61"/>
  <c r="AN21" i="61"/>
  <c r="AN20" i="61"/>
  <c r="AN19" i="61"/>
  <c r="AR18" i="61"/>
  <c r="AN18" i="61"/>
  <c r="AL23" i="61"/>
  <c r="AL22" i="61"/>
  <c r="AL21" i="61"/>
  <c r="AL20" i="61"/>
  <c r="AL19" i="61"/>
  <c r="AL18" i="61"/>
  <c r="AA23" i="61"/>
  <c r="AA22" i="61"/>
  <c r="AA21" i="61"/>
  <c r="AA20" i="61"/>
  <c r="AA19" i="61"/>
  <c r="AA18" i="61"/>
  <c r="Y23" i="61"/>
  <c r="Y22" i="61"/>
  <c r="Y21" i="61"/>
  <c r="Y20" i="61"/>
  <c r="Y19" i="61"/>
  <c r="Y18" i="61"/>
  <c r="S23" i="61"/>
  <c r="S22" i="61"/>
  <c r="S21" i="61"/>
  <c r="S20" i="61"/>
  <c r="S19" i="61"/>
  <c r="S18" i="61"/>
  <c r="Q23" i="61"/>
  <c r="Q22" i="61"/>
  <c r="Q21" i="61"/>
  <c r="Q20" i="61"/>
  <c r="Q19" i="61"/>
  <c r="Q18" i="61"/>
  <c r="L26" i="61"/>
  <c r="L23" i="61"/>
  <c r="L21" i="61"/>
  <c r="L19" i="61"/>
  <c r="BL23" i="62"/>
  <c r="BL22" i="62"/>
  <c r="BL21" i="62"/>
  <c r="BL20" i="62"/>
  <c r="BL19" i="62"/>
  <c r="BL18" i="62"/>
  <c r="BK23" i="62"/>
  <c r="BK22" i="62"/>
  <c r="BK21" i="62"/>
  <c r="BK20" i="62"/>
  <c r="BK19" i="62"/>
  <c r="BK18" i="62"/>
  <c r="BJ23" i="62"/>
  <c r="BJ22" i="62"/>
  <c r="BJ21" i="62"/>
  <c r="BJ20" i="62"/>
  <c r="BJ19" i="62"/>
  <c r="BJ18" i="62"/>
  <c r="BI23" i="62"/>
  <c r="BI22" i="62"/>
  <c r="BI21" i="62"/>
  <c r="BI20" i="62"/>
  <c r="BI19" i="62"/>
  <c r="BI18" i="62"/>
  <c r="AX26" i="62"/>
  <c r="BL26" i="62" s="1"/>
  <c r="AV26" i="62"/>
  <c r="AX25" i="62"/>
  <c r="BL25" i="62" s="1"/>
  <c r="AX23" i="62"/>
  <c r="AV23" i="62"/>
  <c r="AX22" i="62"/>
  <c r="AU22" i="62"/>
  <c r="AX21" i="62"/>
  <c r="AV21" i="62"/>
  <c r="AU21" i="62"/>
  <c r="AX20" i="62"/>
  <c r="AU20" i="62"/>
  <c r="AX19" i="62"/>
  <c r="AV19" i="62"/>
  <c r="AU19" i="62"/>
  <c r="AX18" i="62"/>
  <c r="AN23" i="62"/>
  <c r="AN22" i="62"/>
  <c r="AN21" i="62"/>
  <c r="AN20" i="62"/>
  <c r="AN19" i="62"/>
  <c r="AN18" i="62"/>
  <c r="AL23" i="62"/>
  <c r="AL22" i="62"/>
  <c r="AL21" i="62"/>
  <c r="AL20" i="62"/>
  <c r="AL19" i="62"/>
  <c r="AL18" i="62"/>
  <c r="S23" i="62"/>
  <c r="S22" i="62"/>
  <c r="S21" i="62"/>
  <c r="S20" i="62"/>
  <c r="S19" i="62"/>
  <c r="S18" i="62"/>
  <c r="Q23" i="62"/>
  <c r="Q22" i="62"/>
  <c r="Q21" i="62"/>
  <c r="Q20" i="62"/>
  <c r="Q19" i="62"/>
  <c r="Q18" i="62"/>
  <c r="L26" i="62"/>
  <c r="L23" i="62"/>
  <c r="L21" i="62"/>
  <c r="L19" i="62"/>
  <c r="I18" i="62"/>
  <c r="BL23" i="63"/>
  <c r="BL22" i="63"/>
  <c r="BL21" i="63"/>
  <c r="BL20" i="63"/>
  <c r="BL19" i="63"/>
  <c r="BK23" i="63"/>
  <c r="BK22" i="63"/>
  <c r="BK21" i="63"/>
  <c r="BK20" i="63"/>
  <c r="BK19" i="63"/>
  <c r="BJ23" i="63"/>
  <c r="BJ22" i="63"/>
  <c r="BJ21" i="63"/>
  <c r="BJ20" i="63"/>
  <c r="BJ19" i="63"/>
  <c r="BL18" i="63"/>
  <c r="BK18" i="63"/>
  <c r="BJ18" i="63"/>
  <c r="BI23" i="63"/>
  <c r="BI22" i="63"/>
  <c r="BI21" i="63"/>
  <c r="BI20" i="63"/>
  <c r="BI19" i="63"/>
  <c r="BI18" i="63"/>
  <c r="AX18" i="63"/>
  <c r="AV26" i="63"/>
  <c r="AV23" i="63"/>
  <c r="AV21" i="63"/>
  <c r="AV19" i="63"/>
  <c r="AU22" i="63"/>
  <c r="AU21" i="63"/>
  <c r="AU20" i="63"/>
  <c r="AU19" i="63"/>
  <c r="AN23" i="63"/>
  <c r="AN22" i="63"/>
  <c r="AN21" i="63"/>
  <c r="AN20" i="63"/>
  <c r="AN19" i="63"/>
  <c r="AN18" i="63"/>
  <c r="O18" i="63"/>
  <c r="AL23" i="63"/>
  <c r="AL22" i="63"/>
  <c r="AL21" i="63"/>
  <c r="AL20" i="63"/>
  <c r="AL19" i="63"/>
  <c r="AL18" i="63"/>
  <c r="S23" i="63"/>
  <c r="S22" i="63"/>
  <c r="S21" i="63"/>
  <c r="S20" i="63"/>
  <c r="S19" i="63"/>
  <c r="S18" i="63"/>
  <c r="Q23" i="63"/>
  <c r="Q22" i="63"/>
  <c r="Q21" i="63"/>
  <c r="Q20" i="63"/>
  <c r="Q19" i="63"/>
  <c r="Q18" i="63"/>
  <c r="L26" i="63"/>
  <c r="L23" i="63"/>
  <c r="L21" i="63"/>
  <c r="L19" i="63"/>
  <c r="BL23" i="64"/>
  <c r="BL22" i="64"/>
  <c r="BL21" i="64"/>
  <c r="BL20" i="64"/>
  <c r="BL19" i="64"/>
  <c r="BK23" i="64"/>
  <c r="BK22" i="64"/>
  <c r="BK21" i="64"/>
  <c r="BK20" i="64"/>
  <c r="BK19" i="64"/>
  <c r="BK18" i="64"/>
  <c r="BJ23" i="64"/>
  <c r="BJ22" i="64"/>
  <c r="BJ21" i="64"/>
  <c r="BJ20" i="64"/>
  <c r="BJ19" i="64"/>
  <c r="BI23" i="64"/>
  <c r="BI22" i="64"/>
  <c r="BI21" i="64"/>
  <c r="BI20" i="64"/>
  <c r="BI19" i="64"/>
  <c r="BL18" i="64"/>
  <c r="BJ18" i="64"/>
  <c r="BI18" i="64"/>
  <c r="AX18" i="64"/>
  <c r="AV26" i="64"/>
  <c r="AV23" i="64"/>
  <c r="AV21" i="64"/>
  <c r="AV19" i="64"/>
  <c r="AU22" i="64"/>
  <c r="AU21" i="64"/>
  <c r="AU20" i="64"/>
  <c r="AU19" i="64"/>
  <c r="AU18" i="64"/>
  <c r="L21" i="64"/>
  <c r="AV26" i="28"/>
  <c r="AV21" i="28"/>
  <c r="AV19" i="28"/>
  <c r="AU22" i="28"/>
  <c r="AU21" i="28"/>
  <c r="AU20" i="28"/>
  <c r="AU19" i="28"/>
  <c r="AU18" i="28"/>
  <c r="AX18" i="28" s="1"/>
  <c r="BK23" i="60" l="1"/>
  <c r="BI23" i="60"/>
  <c r="BJ23" i="60"/>
  <c r="BI24" i="60"/>
  <c r="BI26" i="60"/>
  <c r="BJ24" i="60"/>
  <c r="BJ26" i="60"/>
  <c r="BK25" i="60"/>
  <c r="BK27" i="60"/>
  <c r="BL24" i="60"/>
  <c r="BL26" i="60"/>
  <c r="BI25" i="60"/>
  <c r="BI27" i="60"/>
  <c r="BJ25" i="60"/>
  <c r="BJ27" i="60"/>
  <c r="BK26" i="61"/>
  <c r="BK24" i="61"/>
  <c r="AX19" i="60"/>
  <c r="BI25" i="61"/>
  <c r="BI27" i="61"/>
  <c r="BJ25" i="61"/>
  <c r="BJ27" i="61"/>
  <c r="BL25" i="61"/>
  <c r="BL27" i="61"/>
  <c r="BI24" i="61"/>
  <c r="BI26" i="61"/>
  <c r="BJ24" i="61"/>
  <c r="BJ26" i="61"/>
  <c r="BL24" i="62"/>
  <c r="BK24" i="62"/>
  <c r="BJ24" i="62"/>
  <c r="BI24" i="62"/>
  <c r="BI26" i="62"/>
  <c r="BJ26" i="62"/>
  <c r="BK26" i="62"/>
  <c r="BI25" i="62"/>
  <c r="BI27" i="62"/>
  <c r="BJ25" i="62"/>
  <c r="BJ27" i="62"/>
  <c r="BK25" i="62"/>
  <c r="BK27" i="62"/>
  <c r="AX19" i="61"/>
  <c r="AX21" i="61"/>
  <c r="BL18" i="28"/>
  <c r="BJ18" i="28"/>
  <c r="BI18" i="28"/>
  <c r="BD18" i="28"/>
  <c r="BC18" i="28"/>
  <c r="BB18" i="28"/>
  <c r="AZ18" i="28"/>
  <c r="AY18" i="28"/>
  <c r="BK18" i="28"/>
  <c r="V17" i="65"/>
  <c r="AR23" i="28" l="1"/>
  <c r="AR22" i="28"/>
  <c r="AR20" i="28"/>
  <c r="AR18" i="28"/>
  <c r="AP23" i="28"/>
  <c r="AP22" i="28"/>
  <c r="AP20" i="28"/>
  <c r="AP18" i="28"/>
  <c r="AN23" i="28"/>
  <c r="AN22" i="28"/>
  <c r="AN20" i="28"/>
  <c r="AL18" i="28"/>
  <c r="AN18" i="28"/>
  <c r="AL23" i="28"/>
  <c r="AL22" i="28"/>
  <c r="AL20" i="28"/>
  <c r="Y23" i="28"/>
  <c r="Y22" i="28"/>
  <c r="Y20" i="28"/>
  <c r="Y18" i="28"/>
  <c r="W18" i="28"/>
  <c r="S23" i="28"/>
  <c r="S22" i="28"/>
  <c r="S20" i="28"/>
  <c r="S18" i="28"/>
  <c r="Q23" i="28"/>
  <c r="Q22" i="28"/>
  <c r="Q20" i="28"/>
  <c r="Q18" i="28"/>
  <c r="BC38" i="57" l="1"/>
  <c r="W32" i="53"/>
  <c r="W34" i="53"/>
  <c r="BD41" i="60"/>
  <c r="BD39" i="60"/>
  <c r="BD27" i="60"/>
  <c r="BD26" i="60"/>
  <c r="BD25" i="60"/>
  <c r="BD24" i="60"/>
  <c r="BD23" i="60"/>
  <c r="BD22" i="60"/>
  <c r="BD21" i="60"/>
  <c r="BD20" i="60"/>
  <c r="BD19" i="60"/>
  <c r="BD18" i="60"/>
  <c r="BC27" i="60"/>
  <c r="BC26" i="60"/>
  <c r="BC25" i="60"/>
  <c r="BC24" i="60"/>
  <c r="BC23" i="60"/>
  <c r="BC22" i="60"/>
  <c r="BC21" i="60"/>
  <c r="BC20" i="60"/>
  <c r="BC19" i="60"/>
  <c r="BC18" i="60"/>
  <c r="BB27" i="60"/>
  <c r="BB26" i="60"/>
  <c r="BB25" i="60"/>
  <c r="BB24" i="60"/>
  <c r="BB23" i="60"/>
  <c r="BB22" i="60"/>
  <c r="BB21" i="60"/>
  <c r="BB20" i="60"/>
  <c r="BB19" i="60"/>
  <c r="BB18" i="60"/>
  <c r="AZ27" i="60"/>
  <c r="AZ26" i="60"/>
  <c r="AZ25" i="60"/>
  <c r="AZ24" i="60"/>
  <c r="AZ23" i="60"/>
  <c r="AZ22" i="60"/>
  <c r="AZ21" i="60"/>
  <c r="AZ20" i="60"/>
  <c r="AZ19" i="60"/>
  <c r="AZ18" i="60"/>
  <c r="AY27" i="60"/>
  <c r="AY26" i="60"/>
  <c r="AY25" i="60"/>
  <c r="AY24" i="60"/>
  <c r="AY23" i="60"/>
  <c r="AY22" i="60"/>
  <c r="AY21" i="60"/>
  <c r="AY20" i="60"/>
  <c r="AY19" i="60"/>
  <c r="AY18" i="60"/>
  <c r="BD41" i="61"/>
  <c r="BD39" i="61"/>
  <c r="BD27" i="61"/>
  <c r="BD26" i="61"/>
  <c r="BD25" i="61"/>
  <c r="BD24" i="61"/>
  <c r="BD23" i="61"/>
  <c r="BD22" i="61"/>
  <c r="BD21" i="61"/>
  <c r="BD20" i="61"/>
  <c r="BD19" i="61"/>
  <c r="BD18" i="61"/>
  <c r="BC27" i="61"/>
  <c r="BC26" i="61"/>
  <c r="BC25" i="61"/>
  <c r="BC24" i="61"/>
  <c r="BC23" i="61"/>
  <c r="BC22" i="61"/>
  <c r="BC21" i="61"/>
  <c r="BC20" i="61"/>
  <c r="BC19" i="61"/>
  <c r="BC18" i="61"/>
  <c r="BB27" i="61"/>
  <c r="BB26" i="61"/>
  <c r="BB25" i="61"/>
  <c r="BB24" i="61"/>
  <c r="BB23" i="61"/>
  <c r="BB22" i="61"/>
  <c r="BB21" i="61"/>
  <c r="BB20" i="61"/>
  <c r="BB19" i="61"/>
  <c r="BB18" i="61"/>
  <c r="AZ27" i="61"/>
  <c r="AZ26" i="61"/>
  <c r="AZ25" i="61"/>
  <c r="AZ24" i="61"/>
  <c r="AZ23" i="61"/>
  <c r="AZ22" i="61"/>
  <c r="AZ21" i="61"/>
  <c r="AZ20" i="61"/>
  <c r="AZ19" i="61"/>
  <c r="AZ18" i="61"/>
  <c r="AY27" i="61"/>
  <c r="AY26" i="61"/>
  <c r="AY25" i="61"/>
  <c r="AY24" i="61"/>
  <c r="AY23" i="61"/>
  <c r="AY22" i="61"/>
  <c r="AY21" i="61"/>
  <c r="AY20" i="61"/>
  <c r="AY19" i="61"/>
  <c r="AY18" i="61"/>
  <c r="BD41" i="62"/>
  <c r="BD39" i="62"/>
  <c r="BD27" i="62"/>
  <c r="BD26" i="62"/>
  <c r="BD25" i="62"/>
  <c r="BD24" i="62"/>
  <c r="BD23" i="62"/>
  <c r="BD22" i="62"/>
  <c r="BD21" i="62"/>
  <c r="BD20" i="62"/>
  <c r="BD18" i="62"/>
  <c r="BC27" i="62"/>
  <c r="BC26" i="62"/>
  <c r="BC25" i="62"/>
  <c r="BC24" i="62"/>
  <c r="BC23" i="62"/>
  <c r="BC22" i="62"/>
  <c r="BC21" i="62"/>
  <c r="BC20" i="62"/>
  <c r="BC18" i="62"/>
  <c r="BB27" i="62"/>
  <c r="BB26" i="62"/>
  <c r="BB25" i="62"/>
  <c r="BB24" i="62"/>
  <c r="BB23" i="62"/>
  <c r="BB22" i="62"/>
  <c r="BB21" i="62"/>
  <c r="BB20" i="62"/>
  <c r="BB18" i="62"/>
  <c r="AZ27" i="62"/>
  <c r="AZ26" i="62"/>
  <c r="AZ25" i="62"/>
  <c r="AZ24" i="62"/>
  <c r="AZ23" i="62"/>
  <c r="AZ22" i="62"/>
  <c r="AZ21" i="62"/>
  <c r="AZ20" i="62"/>
  <c r="AZ18" i="62"/>
  <c r="AY27" i="62"/>
  <c r="AY26" i="62"/>
  <c r="AY25" i="62"/>
  <c r="AY24" i="62"/>
  <c r="AY23" i="62"/>
  <c r="AY22" i="62"/>
  <c r="AY21" i="62"/>
  <c r="AY20" i="62"/>
  <c r="AY18" i="62"/>
  <c r="BD41" i="63"/>
  <c r="BD39" i="63"/>
  <c r="BD18" i="63"/>
  <c r="BC18" i="63"/>
  <c r="BB18" i="63"/>
  <c r="AZ18" i="63"/>
  <c r="AY18" i="63"/>
  <c r="BD18" i="64"/>
  <c r="BC18" i="64"/>
  <c r="BB18" i="64"/>
  <c r="AZ18" i="64"/>
  <c r="AY18" i="64"/>
  <c r="BD39" i="64"/>
  <c r="BD41" i="64"/>
  <c r="BD41" i="28" l="1"/>
  <c r="X26" i="65"/>
  <c r="X23" i="65"/>
  <c r="P26" i="65"/>
  <c r="P23" i="65"/>
  <c r="AX44" i="60" l="1"/>
  <c r="AX43" i="60"/>
  <c r="AX42" i="60"/>
  <c r="AX44" i="61"/>
  <c r="AX43" i="61"/>
  <c r="AX42" i="61"/>
  <c r="AX44" i="28"/>
  <c r="AX43" i="28"/>
  <c r="AX44" i="62"/>
  <c r="AX43" i="62"/>
  <c r="AX42" i="62"/>
  <c r="AX44" i="63"/>
  <c r="AX42" i="63"/>
  <c r="AX44" i="64"/>
  <c r="AX43" i="64"/>
  <c r="AX42" i="64"/>
  <c r="AX17" i="56" l="1"/>
  <c r="AY17" i="56"/>
  <c r="BA17" i="56"/>
  <c r="BB17" i="56"/>
  <c r="BC17" i="56"/>
  <c r="AX18" i="56"/>
  <c r="AY18" i="56"/>
  <c r="BA18" i="56"/>
  <c r="BB18" i="56"/>
  <c r="BC18" i="56"/>
  <c r="AX19" i="56"/>
  <c r="AY19" i="56"/>
  <c r="BA19" i="56"/>
  <c r="BB19" i="56"/>
  <c r="BC19" i="56"/>
  <c r="AX20" i="56"/>
  <c r="AY20" i="56"/>
  <c r="BA20" i="56"/>
  <c r="BB20" i="56"/>
  <c r="BG20" i="56" s="1"/>
  <c r="BC20" i="56"/>
  <c r="AX21" i="56"/>
  <c r="AY21" i="56"/>
  <c r="BA21" i="56"/>
  <c r="BB21" i="56"/>
  <c r="BC21" i="56"/>
  <c r="AX22" i="56"/>
  <c r="AY22" i="56"/>
  <c r="BA22" i="56"/>
  <c r="BB22" i="56"/>
  <c r="BC22" i="56"/>
  <c r="AX23" i="56"/>
  <c r="AY23" i="56"/>
  <c r="BA23" i="56"/>
  <c r="BB23" i="56"/>
  <c r="BC23" i="56"/>
  <c r="AX24" i="56"/>
  <c r="AY24" i="56"/>
  <c r="BA24" i="56"/>
  <c r="BB24" i="56"/>
  <c r="BC24" i="56"/>
  <c r="AX25" i="56"/>
  <c r="AY25" i="56"/>
  <c r="BA25" i="56"/>
  <c r="BB25" i="56"/>
  <c r="BC25" i="56"/>
  <c r="AX26" i="56"/>
  <c r="AY26" i="56"/>
  <c r="BA26" i="56"/>
  <c r="BB26" i="56"/>
  <c r="BC26" i="56"/>
  <c r="BK27" i="56"/>
  <c r="BJ27" i="56"/>
  <c r="BI27" i="56"/>
  <c r="AW48" i="56" s="1"/>
  <c r="BH27" i="56"/>
  <c r="AW47" i="56" s="1"/>
  <c r="O47" i="56" s="1"/>
  <c r="BF27" i="56"/>
  <c r="AW43" i="56" s="1"/>
  <c r="BE27" i="56"/>
  <c r="AW42" i="56" s="1"/>
  <c r="BD27" i="56"/>
  <c r="AW41" i="56"/>
  <c r="BC38" i="56"/>
  <c r="AZ27" i="56"/>
  <c r="AW37" i="56" s="1"/>
  <c r="O37" i="56" s="1"/>
  <c r="BC36" i="56"/>
  <c r="AU34" i="56"/>
  <c r="AX17" i="57"/>
  <c r="AY17" i="57"/>
  <c r="BA17" i="57"/>
  <c r="BB17" i="57"/>
  <c r="BC17" i="57"/>
  <c r="AX18" i="57"/>
  <c r="AY18" i="57"/>
  <c r="BA18" i="57"/>
  <c r="BB18" i="57"/>
  <c r="BC18" i="57"/>
  <c r="AX19" i="57"/>
  <c r="AY19" i="57"/>
  <c r="BA19" i="57"/>
  <c r="BB19" i="57"/>
  <c r="BC19" i="57"/>
  <c r="AX20" i="57"/>
  <c r="AY20" i="57"/>
  <c r="BA20" i="57"/>
  <c r="BB20" i="57"/>
  <c r="BC20" i="57"/>
  <c r="AX21" i="57"/>
  <c r="AY21" i="57"/>
  <c r="BA21" i="57"/>
  <c r="BB21" i="57"/>
  <c r="BC21" i="57"/>
  <c r="AX22" i="57"/>
  <c r="AY22" i="57"/>
  <c r="BA22" i="57"/>
  <c r="BB22" i="57"/>
  <c r="BC22" i="57"/>
  <c r="BG22" i="57"/>
  <c r="AX23" i="57"/>
  <c r="AY23" i="57"/>
  <c r="BA23" i="57"/>
  <c r="BB23" i="57"/>
  <c r="BC23" i="57"/>
  <c r="AX24" i="57"/>
  <c r="AY24" i="57"/>
  <c r="BA24" i="57"/>
  <c r="BB24" i="57"/>
  <c r="BC24" i="57"/>
  <c r="AX25" i="57"/>
  <c r="AY25" i="57"/>
  <c r="BA25" i="57"/>
  <c r="BB25" i="57"/>
  <c r="BC25" i="57"/>
  <c r="AX26" i="57"/>
  <c r="AY26" i="57"/>
  <c r="BA26" i="57"/>
  <c r="BB26" i="57"/>
  <c r="BC26" i="57"/>
  <c r="BK27" i="57"/>
  <c r="AW50" i="57" s="1"/>
  <c r="BJ27" i="57"/>
  <c r="AW49" i="57" s="1"/>
  <c r="BI27" i="57"/>
  <c r="AW48" i="57" s="1"/>
  <c r="BH27" i="57"/>
  <c r="AW47" i="57" s="1"/>
  <c r="BF27" i="57"/>
  <c r="AW43" i="57" s="1"/>
  <c r="BE27" i="57"/>
  <c r="AW42" i="57" s="1"/>
  <c r="BD27" i="57"/>
  <c r="AW41" i="57" s="1"/>
  <c r="BB38" i="57"/>
  <c r="AZ27" i="57"/>
  <c r="AW37" i="57" s="1"/>
  <c r="BC36" i="57"/>
  <c r="AY27" i="57"/>
  <c r="AW36" i="57" s="1"/>
  <c r="AU34" i="57"/>
  <c r="AX17" i="55"/>
  <c r="AY17" i="55"/>
  <c r="BA17" i="55"/>
  <c r="BB17" i="55"/>
  <c r="BC17" i="55"/>
  <c r="AX18" i="55"/>
  <c r="AY18" i="55"/>
  <c r="BA18" i="55"/>
  <c r="BB18" i="55"/>
  <c r="BC18" i="55"/>
  <c r="AX19" i="55"/>
  <c r="AY19" i="55"/>
  <c r="BA19" i="55"/>
  <c r="BB19" i="55"/>
  <c r="Y19" i="55" s="1"/>
  <c r="BC19" i="55"/>
  <c r="AX20" i="55"/>
  <c r="AY20" i="55"/>
  <c r="BA20" i="55"/>
  <c r="BB20" i="55"/>
  <c r="BC20" i="55"/>
  <c r="AX21" i="55"/>
  <c r="AY21" i="55"/>
  <c r="BA21" i="55"/>
  <c r="BB21" i="55"/>
  <c r="BC21" i="55"/>
  <c r="AX22" i="55"/>
  <c r="AY22" i="55"/>
  <c r="BA22" i="55"/>
  <c r="BB22" i="55"/>
  <c r="BC22" i="55"/>
  <c r="AX23" i="55"/>
  <c r="AY23" i="55"/>
  <c r="BA23" i="55"/>
  <c r="BB23" i="55"/>
  <c r="BC23" i="55"/>
  <c r="BG23" i="55"/>
  <c r="AX24" i="55"/>
  <c r="AY24" i="55"/>
  <c r="BA24" i="55"/>
  <c r="BB24" i="55"/>
  <c r="BC24" i="55"/>
  <c r="AX25" i="55"/>
  <c r="AY25" i="55"/>
  <c r="BA25" i="55"/>
  <c r="BB25" i="55"/>
  <c r="BC25" i="55"/>
  <c r="AX26" i="55"/>
  <c r="AY26" i="55"/>
  <c r="BA26" i="55"/>
  <c r="BB26" i="55"/>
  <c r="BC26" i="55"/>
  <c r="BK27" i="55"/>
  <c r="AW50" i="55" s="1"/>
  <c r="BJ27" i="55"/>
  <c r="BB36" i="55" s="1"/>
  <c r="AW48" i="55"/>
  <c r="AW47" i="55"/>
  <c r="BF27" i="55"/>
  <c r="AW43" i="55" s="1"/>
  <c r="BE27" i="55"/>
  <c r="AW42" i="55" s="1"/>
  <c r="BD27" i="55"/>
  <c r="AW41" i="55" s="1"/>
  <c r="BB38" i="55"/>
  <c r="BC38" i="55"/>
  <c r="W37" i="55" s="1"/>
  <c r="AZ27" i="55"/>
  <c r="BC36" i="55"/>
  <c r="AU34" i="55"/>
  <c r="AX17" i="54"/>
  <c r="AY17" i="54"/>
  <c r="BA17" i="54"/>
  <c r="BB17" i="54"/>
  <c r="BC17" i="54"/>
  <c r="AX18" i="54"/>
  <c r="AY18" i="54"/>
  <c r="BA18" i="54"/>
  <c r="BB18" i="54"/>
  <c r="BC18" i="54"/>
  <c r="AX19" i="54"/>
  <c r="AY19" i="54"/>
  <c r="BA19" i="54"/>
  <c r="BB19" i="54"/>
  <c r="BC19" i="54"/>
  <c r="AX20" i="54"/>
  <c r="AY20" i="54"/>
  <c r="BA20" i="54"/>
  <c r="BB20" i="54"/>
  <c r="BC20" i="54"/>
  <c r="BG20" i="54" s="1"/>
  <c r="AJ20" i="54" s="1"/>
  <c r="AX21" i="54"/>
  <c r="AY21" i="54"/>
  <c r="BA21" i="54"/>
  <c r="BB21" i="54"/>
  <c r="BC21" i="54"/>
  <c r="AX22" i="54"/>
  <c r="AY22" i="54"/>
  <c r="BA22" i="54"/>
  <c r="BB22" i="54"/>
  <c r="BC22" i="54"/>
  <c r="AX23" i="54"/>
  <c r="AY23" i="54"/>
  <c r="BA23" i="54"/>
  <c r="BB23" i="54"/>
  <c r="BC23" i="54"/>
  <c r="AX24" i="54"/>
  <c r="AY24" i="54"/>
  <c r="BA24" i="54"/>
  <c r="BB24" i="54"/>
  <c r="BC24" i="54"/>
  <c r="AX25" i="54"/>
  <c r="AY25" i="54"/>
  <c r="BA25" i="54"/>
  <c r="BB25" i="54"/>
  <c r="BC25" i="54"/>
  <c r="AX26" i="54"/>
  <c r="AY26" i="54"/>
  <c r="BA26" i="54"/>
  <c r="BB26" i="54"/>
  <c r="BC26" i="54"/>
  <c r="BK27" i="54"/>
  <c r="AW50" i="54" s="1"/>
  <c r="O50" i="54" s="1"/>
  <c r="BJ27" i="54"/>
  <c r="BI27" i="54"/>
  <c r="AW48" i="54" s="1"/>
  <c r="AW47" i="54"/>
  <c r="BF27" i="54"/>
  <c r="AW43" i="54" s="1"/>
  <c r="BE27" i="54"/>
  <c r="AW42" i="54" s="1"/>
  <c r="BD27" i="54"/>
  <c r="AW41" i="54" s="1"/>
  <c r="BC38" i="54"/>
  <c r="AZ27" i="54"/>
  <c r="BC36" i="54"/>
  <c r="AU34" i="54"/>
  <c r="M34" i="54" s="1"/>
  <c r="AX17" i="53"/>
  <c r="AY17" i="53"/>
  <c r="BA17" i="53"/>
  <c r="BB17" i="53"/>
  <c r="BC17" i="53"/>
  <c r="AX18" i="53"/>
  <c r="AY18" i="53"/>
  <c r="BA18" i="53"/>
  <c r="BB18" i="53"/>
  <c r="BC18" i="53"/>
  <c r="AX19" i="53"/>
  <c r="AY19" i="53"/>
  <c r="BA19" i="53"/>
  <c r="BB19" i="53"/>
  <c r="BC19" i="53"/>
  <c r="BG19" i="53" s="1"/>
  <c r="AJ19" i="53" s="1"/>
  <c r="AX20" i="53"/>
  <c r="AY20" i="53"/>
  <c r="BA20" i="53"/>
  <c r="BB20" i="53"/>
  <c r="BC20" i="53"/>
  <c r="AX21" i="53"/>
  <c r="AY21" i="53"/>
  <c r="BA21" i="53"/>
  <c r="BB21" i="53"/>
  <c r="BC21" i="53"/>
  <c r="AX22" i="53"/>
  <c r="AY22" i="53"/>
  <c r="BA22" i="53"/>
  <c r="BB22" i="53"/>
  <c r="BC22" i="53"/>
  <c r="AX23" i="53"/>
  <c r="AY23" i="53"/>
  <c r="BA23" i="53"/>
  <c r="BB23" i="53"/>
  <c r="BC23" i="53"/>
  <c r="AX24" i="53"/>
  <c r="AY24" i="53"/>
  <c r="S24" i="53" s="1"/>
  <c r="BA24" i="53"/>
  <c r="BB24" i="53"/>
  <c r="BC24" i="53"/>
  <c r="AX25" i="53"/>
  <c r="AY25" i="53"/>
  <c r="BA25" i="53"/>
  <c r="BB25" i="53"/>
  <c r="BC25" i="53"/>
  <c r="AX26" i="53"/>
  <c r="AY26" i="53"/>
  <c r="BA26" i="53"/>
  <c r="BB26" i="53"/>
  <c r="BC26" i="53"/>
  <c r="BK27" i="53"/>
  <c r="BJ27" i="53"/>
  <c r="BI27" i="53"/>
  <c r="AW48" i="53" s="1"/>
  <c r="BH27" i="53"/>
  <c r="AW47" i="53" s="1"/>
  <c r="O47" i="53" s="1"/>
  <c r="BF27" i="53"/>
  <c r="AW43" i="53" s="1"/>
  <c r="BE27" i="53"/>
  <c r="AW42" i="53" s="1"/>
  <c r="BD27" i="53"/>
  <c r="AW41" i="53"/>
  <c r="BC38" i="53"/>
  <c r="AZ27" i="53"/>
  <c r="AW37" i="53" s="1"/>
  <c r="O37" i="53" s="1"/>
  <c r="BC36" i="53"/>
  <c r="AU34" i="53"/>
  <c r="H17" i="65"/>
  <c r="I17" i="65" s="1"/>
  <c r="M17" i="65"/>
  <c r="U17" i="65"/>
  <c r="AC17" i="65"/>
  <c r="AE17" i="65"/>
  <c r="AG17" i="65"/>
  <c r="AY17" i="65"/>
  <c r="BA17" i="65"/>
  <c r="BB17" i="65"/>
  <c r="BC17" i="65"/>
  <c r="H18" i="65"/>
  <c r="I18" i="65" s="1"/>
  <c r="L18" i="65"/>
  <c r="M18" i="65" s="1"/>
  <c r="U18" i="65"/>
  <c r="AC18" i="65"/>
  <c r="AE18" i="65"/>
  <c r="AG18" i="65"/>
  <c r="AX18" i="65"/>
  <c r="AY18" i="65"/>
  <c r="BA18" i="65"/>
  <c r="BB18" i="65"/>
  <c r="BC18" i="65"/>
  <c r="H19" i="65"/>
  <c r="I19" i="65" s="1"/>
  <c r="M19" i="65"/>
  <c r="U19" i="65"/>
  <c r="AC19" i="65"/>
  <c r="AE19" i="65"/>
  <c r="AG19" i="65"/>
  <c r="AX19" i="65"/>
  <c r="AY19" i="65"/>
  <c r="BA19" i="65"/>
  <c r="BB19" i="65"/>
  <c r="BC19" i="65"/>
  <c r="H20" i="65"/>
  <c r="I20" i="65" s="1"/>
  <c r="L20" i="65"/>
  <c r="M20" i="65" s="1"/>
  <c r="U20" i="65"/>
  <c r="AC20" i="65"/>
  <c r="AE20" i="65"/>
  <c r="AG20" i="65"/>
  <c r="AX20" i="65"/>
  <c r="AY20" i="65"/>
  <c r="BA20" i="65"/>
  <c r="BB20" i="65"/>
  <c r="BC20" i="65"/>
  <c r="H21" i="65"/>
  <c r="I21" i="65" s="1"/>
  <c r="M21" i="65"/>
  <c r="U21" i="65"/>
  <c r="AC21" i="65"/>
  <c r="AE21" i="65"/>
  <c r="AG21" i="65"/>
  <c r="AX21" i="65"/>
  <c r="AY21" i="65"/>
  <c r="BA21" i="65"/>
  <c r="BB21" i="65"/>
  <c r="BC21" i="65"/>
  <c r="I22" i="65"/>
  <c r="L22" i="65"/>
  <c r="U22" i="65"/>
  <c r="AC22" i="65"/>
  <c r="AE22" i="65"/>
  <c r="AG22" i="65"/>
  <c r="AX22" i="65"/>
  <c r="AY22" i="65"/>
  <c r="BA22" i="65"/>
  <c r="BB22" i="65"/>
  <c r="BC22" i="65"/>
  <c r="I23" i="65"/>
  <c r="M23" i="65"/>
  <c r="N23" i="65"/>
  <c r="V23" i="65" s="1"/>
  <c r="R23" i="65"/>
  <c r="U23" i="65"/>
  <c r="AC23" i="65"/>
  <c r="AE23" i="65"/>
  <c r="AG23" i="65"/>
  <c r="AK23" i="65"/>
  <c r="AL23" i="65" s="1"/>
  <c r="AM23" i="65"/>
  <c r="AN23" i="65" s="1"/>
  <c r="AO23" i="65"/>
  <c r="AP23" i="65" s="1"/>
  <c r="AQ23" i="65"/>
  <c r="AR23" i="65" s="1"/>
  <c r="AX23" i="65"/>
  <c r="AY23" i="65"/>
  <c r="BA23" i="65"/>
  <c r="BB23" i="65"/>
  <c r="BC23" i="65"/>
  <c r="AA23" i="65" s="1"/>
  <c r="I24" i="65"/>
  <c r="M24" i="65"/>
  <c r="N24" i="65"/>
  <c r="U24" i="65"/>
  <c r="AC24" i="65"/>
  <c r="AE24" i="65"/>
  <c r="AG24" i="65"/>
  <c r="AX24" i="65"/>
  <c r="AY24" i="65"/>
  <c r="BA24" i="65"/>
  <c r="BB24" i="65"/>
  <c r="BC24" i="65"/>
  <c r="I25" i="65"/>
  <c r="U25" i="65"/>
  <c r="AC25" i="65"/>
  <c r="AE25" i="65"/>
  <c r="AG25" i="65"/>
  <c r="AX25" i="65"/>
  <c r="AY25" i="65"/>
  <c r="BA25" i="65"/>
  <c r="BB25" i="65"/>
  <c r="BC25" i="65"/>
  <c r="H26" i="65"/>
  <c r="I26" i="65" s="1"/>
  <c r="M26" i="65"/>
  <c r="N26" i="65"/>
  <c r="O26" i="65"/>
  <c r="U26" i="65"/>
  <c r="V26" i="65"/>
  <c r="AC26" i="65"/>
  <c r="AE26" i="65"/>
  <c r="AG26" i="65"/>
  <c r="AX26" i="65"/>
  <c r="AY26" i="65"/>
  <c r="BA26" i="65"/>
  <c r="BB26" i="65"/>
  <c r="BC26" i="65"/>
  <c r="T27" i="65"/>
  <c r="AB27" i="65"/>
  <c r="AC27" i="65"/>
  <c r="AD27" i="65"/>
  <c r="AF27" i="65"/>
  <c r="AG27" i="65"/>
  <c r="AZ27" i="65"/>
  <c r="AW37" i="65" s="1"/>
  <c r="BD27" i="65"/>
  <c r="BE27" i="65"/>
  <c r="BF27" i="65"/>
  <c r="BH27" i="65"/>
  <c r="AW47" i="65" s="1"/>
  <c r="BI27" i="65"/>
  <c r="BJ27" i="65"/>
  <c r="BB36" i="65" s="1"/>
  <c r="BD36" i="65" s="1"/>
  <c r="BK27" i="65"/>
  <c r="BB38" i="65" s="1"/>
  <c r="AU34" i="65"/>
  <c r="BC36" i="65"/>
  <c r="W32" i="65" s="1"/>
  <c r="BC38" i="65"/>
  <c r="W34" i="65" s="1"/>
  <c r="N41" i="65"/>
  <c r="AW41" i="65"/>
  <c r="N42" i="65"/>
  <c r="N43" i="65"/>
  <c r="O43" i="65" s="1"/>
  <c r="AW43" i="65"/>
  <c r="AW48" i="65"/>
  <c r="AW49" i="65"/>
  <c r="I18" i="64"/>
  <c r="O18" i="64" s="1"/>
  <c r="P18" i="64" s="1"/>
  <c r="J18" i="64"/>
  <c r="M18" i="64"/>
  <c r="N18" i="64"/>
  <c r="R18" i="64"/>
  <c r="V18" i="64"/>
  <c r="X18" i="64"/>
  <c r="Z18" i="64"/>
  <c r="AB18" i="64"/>
  <c r="AD18" i="64"/>
  <c r="AF18" i="64"/>
  <c r="AH18" i="64"/>
  <c r="AM18" i="64"/>
  <c r="AO18" i="64"/>
  <c r="AQ18" i="64"/>
  <c r="AS18" i="64"/>
  <c r="T18" i="64"/>
  <c r="BH18" i="64"/>
  <c r="I19" i="64"/>
  <c r="J19" i="64" s="1"/>
  <c r="M19" i="64"/>
  <c r="N19" i="64" s="1"/>
  <c r="V19" i="64"/>
  <c r="AD19" i="64"/>
  <c r="AF19" i="64"/>
  <c r="AH19" i="64"/>
  <c r="AM19" i="64"/>
  <c r="AO19" i="64"/>
  <c r="AQ19" i="64"/>
  <c r="AS19" i="64"/>
  <c r="AX19" i="64"/>
  <c r="I20" i="64"/>
  <c r="J20" i="64" s="1"/>
  <c r="M20" i="64"/>
  <c r="N20" i="64"/>
  <c r="O20" i="64"/>
  <c r="V20" i="64"/>
  <c r="AD20" i="64"/>
  <c r="AF20" i="64"/>
  <c r="AH20" i="64"/>
  <c r="AM20" i="64"/>
  <c r="AO20" i="64"/>
  <c r="AQ20" i="64"/>
  <c r="AS20" i="64"/>
  <c r="AX20" i="64"/>
  <c r="I21" i="64"/>
  <c r="J21" i="64" s="1"/>
  <c r="M21" i="64"/>
  <c r="N21" i="64"/>
  <c r="V21" i="64"/>
  <c r="AD21" i="64"/>
  <c r="AF21" i="64"/>
  <c r="AH21" i="64"/>
  <c r="AM21" i="64"/>
  <c r="AO21" i="64"/>
  <c r="AQ21" i="64"/>
  <c r="AS21" i="64"/>
  <c r="AX21" i="64"/>
  <c r="I22" i="64"/>
  <c r="M22" i="64"/>
  <c r="N22" i="64" s="1"/>
  <c r="V22" i="64"/>
  <c r="AD22" i="64"/>
  <c r="AF22" i="64"/>
  <c r="AH22" i="64"/>
  <c r="AM22" i="64"/>
  <c r="AO22" i="64"/>
  <c r="AQ22" i="64"/>
  <c r="AS22" i="64"/>
  <c r="AX22" i="64"/>
  <c r="J23" i="64"/>
  <c r="L23" i="64"/>
  <c r="M23" i="64"/>
  <c r="O23" i="64" s="1"/>
  <c r="N23" i="64"/>
  <c r="V23" i="64"/>
  <c r="AD23" i="64"/>
  <c r="AF23" i="64"/>
  <c r="AH23" i="64"/>
  <c r="AM23" i="64"/>
  <c r="AO23" i="64"/>
  <c r="AQ23" i="64"/>
  <c r="AS23" i="64"/>
  <c r="AX23" i="64"/>
  <c r="P23" i="64" s="1"/>
  <c r="N24" i="64"/>
  <c r="V24" i="64"/>
  <c r="AD24" i="64"/>
  <c r="AF24" i="64"/>
  <c r="AH24" i="64"/>
  <c r="AX24" i="64"/>
  <c r="J25" i="64"/>
  <c r="N25" i="64"/>
  <c r="O25" i="64"/>
  <c r="V25" i="64"/>
  <c r="AD25" i="64"/>
  <c r="AF25" i="64"/>
  <c r="AH25" i="64"/>
  <c r="AX25" i="64"/>
  <c r="V26" i="64"/>
  <c r="AD26" i="64"/>
  <c r="AF26" i="64"/>
  <c r="AH26" i="64"/>
  <c r="AX26" i="64"/>
  <c r="N27" i="64"/>
  <c r="V27" i="64"/>
  <c r="AD27" i="64"/>
  <c r="AF27" i="64"/>
  <c r="AH27" i="64"/>
  <c r="AX27" i="64"/>
  <c r="AF28" i="64"/>
  <c r="AH28" i="64"/>
  <c r="AU28" i="64"/>
  <c r="AV28" i="64"/>
  <c r="BA28" i="64"/>
  <c r="BE28" i="64"/>
  <c r="AD28" i="64" s="1"/>
  <c r="BF28" i="64"/>
  <c r="BG28" i="64"/>
  <c r="X37" i="64"/>
  <c r="X35" i="64"/>
  <c r="P42" i="64"/>
  <c r="P43" i="64"/>
  <c r="P44" i="64"/>
  <c r="I18" i="63"/>
  <c r="J18" i="63" s="1"/>
  <c r="M18" i="63"/>
  <c r="T18" i="63"/>
  <c r="V18" i="63"/>
  <c r="AD18" i="63"/>
  <c r="AF18" i="63"/>
  <c r="AH18" i="63"/>
  <c r="AM18" i="63"/>
  <c r="AO18" i="63"/>
  <c r="AQ18" i="63"/>
  <c r="AS18" i="63"/>
  <c r="Z18" i="63"/>
  <c r="AB18" i="63"/>
  <c r="I19" i="63"/>
  <c r="J19" i="63" s="1"/>
  <c r="M19" i="63"/>
  <c r="V19" i="63"/>
  <c r="AD19" i="63"/>
  <c r="AF19" i="63"/>
  <c r="AH19" i="63"/>
  <c r="AM19" i="63"/>
  <c r="AO19" i="63"/>
  <c r="AQ19" i="63"/>
  <c r="AS19" i="63"/>
  <c r="AX19" i="63"/>
  <c r="I20" i="63"/>
  <c r="M20" i="63"/>
  <c r="N20" i="63" s="1"/>
  <c r="V20" i="63"/>
  <c r="AD20" i="63"/>
  <c r="AF20" i="63"/>
  <c r="AH20" i="63"/>
  <c r="AM20" i="63"/>
  <c r="AO20" i="63"/>
  <c r="AQ20" i="63"/>
  <c r="AS20" i="63"/>
  <c r="AX20" i="63"/>
  <c r="I21" i="63"/>
  <c r="M21" i="63"/>
  <c r="N21" i="63" s="1"/>
  <c r="V21" i="63"/>
  <c r="AD21" i="63"/>
  <c r="AF21" i="63"/>
  <c r="AH21" i="63"/>
  <c r="AM21" i="63"/>
  <c r="AO21" i="63"/>
  <c r="AQ21" i="63"/>
  <c r="AS21" i="63"/>
  <c r="AX21" i="63"/>
  <c r="I22" i="63"/>
  <c r="J22" i="63" s="1"/>
  <c r="M22" i="63"/>
  <c r="N22" i="63"/>
  <c r="V22" i="63"/>
  <c r="AD22" i="63"/>
  <c r="AF22" i="63"/>
  <c r="AH22" i="63"/>
  <c r="AM22" i="63"/>
  <c r="AO22" i="63"/>
  <c r="AQ22" i="63"/>
  <c r="AS22" i="63"/>
  <c r="AX22" i="63"/>
  <c r="J23" i="63"/>
  <c r="M23" i="63"/>
  <c r="N23" i="63" s="1"/>
  <c r="V23" i="63"/>
  <c r="AD23" i="63"/>
  <c r="AF23" i="63"/>
  <c r="AH23" i="63"/>
  <c r="AM23" i="63"/>
  <c r="AO23" i="63"/>
  <c r="AQ23" i="63"/>
  <c r="AS23" i="63"/>
  <c r="AX23" i="63"/>
  <c r="N24" i="63"/>
  <c r="V24" i="63"/>
  <c r="AD24" i="63"/>
  <c r="AF24" i="63"/>
  <c r="AH24" i="63"/>
  <c r="AX24" i="63"/>
  <c r="J25" i="63"/>
  <c r="N25" i="63"/>
  <c r="O25" i="63"/>
  <c r="V25" i="63"/>
  <c r="AD25" i="63"/>
  <c r="AF25" i="63"/>
  <c r="AH25" i="63"/>
  <c r="AX25" i="63"/>
  <c r="J26" i="63"/>
  <c r="M26" i="63"/>
  <c r="V26" i="63"/>
  <c r="AD26" i="63"/>
  <c r="AF26" i="63"/>
  <c r="AH26" i="63"/>
  <c r="AX26" i="63"/>
  <c r="J27" i="63"/>
  <c r="N27" i="63"/>
  <c r="O27" i="63"/>
  <c r="V27" i="63"/>
  <c r="AD27" i="63"/>
  <c r="AF27" i="63"/>
  <c r="AH27" i="63"/>
  <c r="AX27" i="63"/>
  <c r="AF28" i="63"/>
  <c r="AU28" i="63"/>
  <c r="AV28" i="63"/>
  <c r="BA28" i="63"/>
  <c r="BE28" i="63"/>
  <c r="AD28" i="63" s="1"/>
  <c r="BF28" i="63"/>
  <c r="BG28" i="63"/>
  <c r="AH28" i="63" s="1"/>
  <c r="X35" i="63"/>
  <c r="X37" i="63"/>
  <c r="P42" i="63"/>
  <c r="P43" i="63"/>
  <c r="P44" i="63"/>
  <c r="M18" i="62"/>
  <c r="N18" i="62" s="1"/>
  <c r="V18" i="62"/>
  <c r="Z18" i="62"/>
  <c r="AD18" i="62"/>
  <c r="AF18" i="62"/>
  <c r="AH18" i="62"/>
  <c r="AM18" i="62"/>
  <c r="AO18" i="62"/>
  <c r="AQ18" i="62"/>
  <c r="AS18" i="62"/>
  <c r="BH18" i="62"/>
  <c r="I19" i="62"/>
  <c r="M19" i="62"/>
  <c r="N19" i="62" s="1"/>
  <c r="V19" i="62"/>
  <c r="AD19" i="62"/>
  <c r="AF19" i="62"/>
  <c r="AH19" i="62"/>
  <c r="AM19" i="62"/>
  <c r="AO19" i="62"/>
  <c r="AQ19" i="62"/>
  <c r="AS19" i="62"/>
  <c r="I20" i="62"/>
  <c r="M20" i="62"/>
  <c r="N20" i="62" s="1"/>
  <c r="V20" i="62"/>
  <c r="AD20" i="62"/>
  <c r="AF20" i="62"/>
  <c r="AH20" i="62"/>
  <c r="AM20" i="62"/>
  <c r="AO20" i="62"/>
  <c r="AQ20" i="62"/>
  <c r="AS20" i="62"/>
  <c r="I21" i="62"/>
  <c r="J21" i="62" s="1"/>
  <c r="M21" i="62"/>
  <c r="N21" i="62" s="1"/>
  <c r="V21" i="62"/>
  <c r="AD21" i="62"/>
  <c r="AF21" i="62"/>
  <c r="AH21" i="62"/>
  <c r="AM21" i="62"/>
  <c r="AO21" i="62"/>
  <c r="AQ21" i="62"/>
  <c r="AS21" i="62"/>
  <c r="I22" i="62"/>
  <c r="O22" i="62" s="1"/>
  <c r="W22" i="62" s="1"/>
  <c r="M22" i="62"/>
  <c r="N22" i="62"/>
  <c r="V22" i="62"/>
  <c r="AD22" i="62"/>
  <c r="AF22" i="62"/>
  <c r="AH22" i="62"/>
  <c r="AM22" i="62"/>
  <c r="AO22" i="62"/>
  <c r="AQ22" i="62"/>
  <c r="AS22" i="62"/>
  <c r="J23" i="62"/>
  <c r="M23" i="62"/>
  <c r="N23" i="62" s="1"/>
  <c r="V23" i="62"/>
  <c r="AD23" i="62"/>
  <c r="AF23" i="62"/>
  <c r="AH23" i="62"/>
  <c r="AM23" i="62"/>
  <c r="AO23" i="62"/>
  <c r="AQ23" i="62"/>
  <c r="AS23" i="62"/>
  <c r="J24" i="62"/>
  <c r="N24" i="62"/>
  <c r="O24" i="62"/>
  <c r="V24" i="62"/>
  <c r="AD24" i="62"/>
  <c r="AF24" i="62"/>
  <c r="AH24" i="62"/>
  <c r="AQ24" i="62"/>
  <c r="AS24" i="62"/>
  <c r="Z24" i="62"/>
  <c r="J25" i="62"/>
  <c r="N25" i="62"/>
  <c r="O25" i="62"/>
  <c r="AA25" i="62" s="1"/>
  <c r="V25" i="62"/>
  <c r="AD25" i="62"/>
  <c r="AF25" i="62"/>
  <c r="AH25" i="62"/>
  <c r="AQ25" i="62"/>
  <c r="AS25" i="62"/>
  <c r="Z25" i="62"/>
  <c r="J26" i="62"/>
  <c r="M26" i="62"/>
  <c r="N26" i="62" s="1"/>
  <c r="V26" i="62"/>
  <c r="AD26" i="62"/>
  <c r="AF26" i="62"/>
  <c r="AH26" i="62"/>
  <c r="AQ26" i="62"/>
  <c r="AS26" i="62"/>
  <c r="Z26" i="62"/>
  <c r="J27" i="62"/>
  <c r="N27" i="62"/>
  <c r="O27" i="62"/>
  <c r="V27" i="62"/>
  <c r="AA27" i="62"/>
  <c r="AD27" i="62"/>
  <c r="AF27" i="62"/>
  <c r="AH27" i="62"/>
  <c r="AQ27" i="62"/>
  <c r="AS27" i="62"/>
  <c r="Z27" i="62"/>
  <c r="U28" i="62"/>
  <c r="AC28" i="62"/>
  <c r="AD28" i="62" s="1"/>
  <c r="AF28" i="62"/>
  <c r="AU28" i="62"/>
  <c r="AV28" i="62"/>
  <c r="BA28" i="62"/>
  <c r="BE28" i="62"/>
  <c r="BF28" i="62"/>
  <c r="BG28" i="62"/>
  <c r="AH28" i="62" s="1"/>
  <c r="BI28" i="62"/>
  <c r="AX48" i="62" s="1"/>
  <c r="BJ28" i="62"/>
  <c r="AX49" i="62" s="1"/>
  <c r="P49" i="62" s="1"/>
  <c r="BK28" i="62"/>
  <c r="BL28" i="62"/>
  <c r="BC41" i="62" s="1"/>
  <c r="X35" i="62"/>
  <c r="P42" i="62"/>
  <c r="P43" i="62"/>
  <c r="P44" i="62"/>
  <c r="I18" i="61"/>
  <c r="J18" i="61" s="1"/>
  <c r="M18" i="61"/>
  <c r="N18" i="61" s="1"/>
  <c r="T18" i="61"/>
  <c r="V18" i="61"/>
  <c r="Z18" i="61"/>
  <c r="AD18" i="61"/>
  <c r="AF18" i="61"/>
  <c r="AH18" i="61"/>
  <c r="AM18" i="61"/>
  <c r="AO18" i="61"/>
  <c r="AQ18" i="61"/>
  <c r="AS18" i="61"/>
  <c r="BH18" i="61"/>
  <c r="AK18" i="61" s="1"/>
  <c r="I19" i="61"/>
  <c r="J19" i="61" s="1"/>
  <c r="M19" i="61"/>
  <c r="V19" i="61"/>
  <c r="AD19" i="61"/>
  <c r="AF19" i="61"/>
  <c r="AH19" i="61"/>
  <c r="AM19" i="61"/>
  <c r="AO19" i="61"/>
  <c r="AQ19" i="61"/>
  <c r="AS19" i="61"/>
  <c r="I20" i="61"/>
  <c r="M20" i="61"/>
  <c r="N20" i="61" s="1"/>
  <c r="R20" i="61"/>
  <c r="V20" i="61"/>
  <c r="Z20" i="61"/>
  <c r="AD20" i="61"/>
  <c r="AF20" i="61"/>
  <c r="AH20" i="61"/>
  <c r="AM20" i="61"/>
  <c r="AO20" i="61"/>
  <c r="AQ20" i="61"/>
  <c r="AS20" i="61"/>
  <c r="BH20" i="61"/>
  <c r="AK20" i="61" s="1"/>
  <c r="I21" i="61"/>
  <c r="M21" i="61"/>
  <c r="N21" i="61" s="1"/>
  <c r="V21" i="61"/>
  <c r="AD21" i="61"/>
  <c r="AF21" i="61"/>
  <c r="AH21" i="61"/>
  <c r="AM21" i="61"/>
  <c r="AO21" i="61"/>
  <c r="AQ21" i="61"/>
  <c r="AS21" i="61"/>
  <c r="I22" i="61"/>
  <c r="J22" i="61" s="1"/>
  <c r="M22" i="61"/>
  <c r="N22" i="61"/>
  <c r="V22" i="61"/>
  <c r="Z22" i="61"/>
  <c r="AD22" i="61"/>
  <c r="AF22" i="61"/>
  <c r="AH22" i="61"/>
  <c r="AM22" i="61"/>
  <c r="AO22" i="61"/>
  <c r="AQ22" i="61"/>
  <c r="AS22" i="61"/>
  <c r="J23" i="61"/>
  <c r="M23" i="61"/>
  <c r="O23" i="61" s="1"/>
  <c r="R23" i="61"/>
  <c r="V23" i="61"/>
  <c r="W23" i="61"/>
  <c r="X23" i="61" s="1"/>
  <c r="AD23" i="61"/>
  <c r="AF23" i="61"/>
  <c r="AH23" i="61"/>
  <c r="AM23" i="61"/>
  <c r="AO23" i="61"/>
  <c r="AQ23" i="61"/>
  <c r="AS23" i="61"/>
  <c r="Z23" i="61"/>
  <c r="J24" i="61"/>
  <c r="N24" i="61"/>
  <c r="O24" i="61"/>
  <c r="V24" i="61"/>
  <c r="AD24" i="61"/>
  <c r="AF24" i="61"/>
  <c r="AH24" i="61"/>
  <c r="N25" i="61"/>
  <c r="V25" i="61"/>
  <c r="AD25" i="61"/>
  <c r="AF25" i="61"/>
  <c r="AH25" i="61"/>
  <c r="M26" i="61"/>
  <c r="N26" i="61" s="1"/>
  <c r="J26" i="61"/>
  <c r="O26" i="61"/>
  <c r="V26" i="61"/>
  <c r="AD26" i="61"/>
  <c r="AF26" i="61"/>
  <c r="AH26" i="61"/>
  <c r="O27" i="61"/>
  <c r="P27" i="61" s="1"/>
  <c r="J27" i="61"/>
  <c r="N27" i="61"/>
  <c r="V27" i="61"/>
  <c r="AD27" i="61"/>
  <c r="AF27" i="61"/>
  <c r="AH27" i="61"/>
  <c r="U28" i="61"/>
  <c r="AC28" i="61"/>
  <c r="AD28" i="61"/>
  <c r="AU28" i="61"/>
  <c r="AV28" i="61"/>
  <c r="BA28" i="61"/>
  <c r="AX38" i="61" s="1"/>
  <c r="P38" i="61" s="1"/>
  <c r="BE28" i="61"/>
  <c r="BF28" i="61"/>
  <c r="AF28" i="61" s="1"/>
  <c r="BG28" i="61"/>
  <c r="AH28" i="61" s="1"/>
  <c r="BI28" i="61"/>
  <c r="AX48" i="61" s="1"/>
  <c r="P48" i="61" s="1"/>
  <c r="BJ28" i="61"/>
  <c r="AX49" i="61" s="1"/>
  <c r="P49" i="61" s="1"/>
  <c r="BK28" i="61"/>
  <c r="BC39" i="61" s="1"/>
  <c r="BE39" i="61" s="1"/>
  <c r="AX50" i="61" s="1"/>
  <c r="P50" i="61" s="1"/>
  <c r="BL28" i="61"/>
  <c r="X35" i="61"/>
  <c r="X37" i="61"/>
  <c r="P42" i="61"/>
  <c r="P43" i="61"/>
  <c r="P44" i="61"/>
  <c r="I18" i="60"/>
  <c r="J18" i="60" s="1"/>
  <c r="M18" i="60"/>
  <c r="N18" i="60"/>
  <c r="O18" i="60"/>
  <c r="AA18" i="60" s="1"/>
  <c r="V18" i="60"/>
  <c r="Z18" i="60"/>
  <c r="AD18" i="60"/>
  <c r="AF18" i="60"/>
  <c r="AH18" i="60"/>
  <c r="AM18" i="60"/>
  <c r="AO18" i="60"/>
  <c r="AQ18" i="60"/>
  <c r="AS18" i="60"/>
  <c r="I19" i="60"/>
  <c r="J19" i="60"/>
  <c r="M19" i="60"/>
  <c r="V19" i="60"/>
  <c r="AD19" i="60"/>
  <c r="AF19" i="60"/>
  <c r="AH19" i="60"/>
  <c r="AM19" i="60"/>
  <c r="AO19" i="60"/>
  <c r="AQ19" i="60"/>
  <c r="AS19" i="60"/>
  <c r="I20" i="60"/>
  <c r="M20" i="60"/>
  <c r="N20" i="60" s="1"/>
  <c r="R20" i="60"/>
  <c r="V20" i="60"/>
  <c r="Z20" i="60"/>
  <c r="AD20" i="60"/>
  <c r="AF20" i="60"/>
  <c r="AH20" i="60"/>
  <c r="AM20" i="60"/>
  <c r="AO20" i="60"/>
  <c r="AQ20" i="60"/>
  <c r="AS20" i="60"/>
  <c r="I21" i="60"/>
  <c r="M21" i="60"/>
  <c r="N21" i="60" s="1"/>
  <c r="R21" i="60"/>
  <c r="V21" i="60"/>
  <c r="Z21" i="60"/>
  <c r="AD21" i="60"/>
  <c r="AF21" i="60"/>
  <c r="AH21" i="60"/>
  <c r="AM21" i="60"/>
  <c r="AO21" i="60"/>
  <c r="AQ21" i="60"/>
  <c r="AS21" i="60"/>
  <c r="I22" i="60"/>
  <c r="M22" i="60"/>
  <c r="N22" i="60" s="1"/>
  <c r="V22" i="60"/>
  <c r="AD22" i="60"/>
  <c r="AF22" i="60"/>
  <c r="AH22" i="60"/>
  <c r="AM22" i="60"/>
  <c r="AO22" i="60"/>
  <c r="AQ22" i="60"/>
  <c r="AS22" i="60"/>
  <c r="Z22" i="60"/>
  <c r="J23" i="60"/>
  <c r="L23" i="60"/>
  <c r="M23" i="60"/>
  <c r="O23" i="60" s="1"/>
  <c r="S23" i="60" s="1"/>
  <c r="T23" i="60" s="1"/>
  <c r="P23" i="60"/>
  <c r="R23" i="60"/>
  <c r="V23" i="60"/>
  <c r="AA23" i="60"/>
  <c r="AD23" i="60"/>
  <c r="AF23" i="60"/>
  <c r="AH23" i="60"/>
  <c r="AM23" i="60"/>
  <c r="AO23" i="60"/>
  <c r="AQ23" i="60"/>
  <c r="AS23" i="60"/>
  <c r="O24" i="60"/>
  <c r="N24" i="60"/>
  <c r="P24" i="60"/>
  <c r="V24" i="60"/>
  <c r="W24" i="60"/>
  <c r="X24" i="60" s="1"/>
  <c r="AD24" i="60"/>
  <c r="AF24" i="60"/>
  <c r="AH24" i="60"/>
  <c r="J25" i="60"/>
  <c r="N25" i="60"/>
  <c r="V25" i="60"/>
  <c r="AD25" i="60"/>
  <c r="AF25" i="60"/>
  <c r="AH25" i="60"/>
  <c r="M26" i="60"/>
  <c r="J26" i="60"/>
  <c r="V26" i="60"/>
  <c r="AD26" i="60"/>
  <c r="AF26" i="60"/>
  <c r="AH26" i="60"/>
  <c r="O27" i="60"/>
  <c r="J27" i="60"/>
  <c r="N27" i="60"/>
  <c r="V27" i="60"/>
  <c r="AD27" i="60"/>
  <c r="AF27" i="60"/>
  <c r="AH27" i="60"/>
  <c r="U28" i="60"/>
  <c r="O38" i="60" s="1"/>
  <c r="AC28" i="60"/>
  <c r="O42" i="60" s="1"/>
  <c r="AD28" i="60"/>
  <c r="AE28" i="60"/>
  <c r="AG28" i="60"/>
  <c r="AH28" i="60" s="1"/>
  <c r="AU28" i="60"/>
  <c r="AV28" i="60"/>
  <c r="BA28" i="60"/>
  <c r="AX38" i="60" s="1"/>
  <c r="BE28" i="60"/>
  <c r="BF28" i="60"/>
  <c r="BG28" i="60"/>
  <c r="BI28" i="60"/>
  <c r="AX48" i="60" s="1"/>
  <c r="BJ28" i="60"/>
  <c r="AX49" i="60" s="1"/>
  <c r="BK28" i="60"/>
  <c r="BC39" i="60" s="1"/>
  <c r="BE39" i="60" s="1"/>
  <c r="AX50" i="60" s="1"/>
  <c r="BL28" i="60"/>
  <c r="BC41" i="60" s="1"/>
  <c r="BE41" i="60" s="1"/>
  <c r="AX51" i="60" s="1"/>
  <c r="X35" i="60"/>
  <c r="X37" i="60"/>
  <c r="P42" i="60"/>
  <c r="O43" i="60"/>
  <c r="P43" i="60" s="1"/>
  <c r="BD39" i="28"/>
  <c r="X35" i="28" s="1"/>
  <c r="Y37" i="54"/>
  <c r="Y35" i="54"/>
  <c r="W37" i="54"/>
  <c r="W35" i="54"/>
  <c r="U37" i="54"/>
  <c r="U35" i="54"/>
  <c r="M17" i="57"/>
  <c r="U17" i="57"/>
  <c r="AC17" i="57"/>
  <c r="AE17" i="57"/>
  <c r="AG17" i="57"/>
  <c r="I18" i="57"/>
  <c r="L18" i="57"/>
  <c r="N18" i="57" s="1"/>
  <c r="U18" i="57"/>
  <c r="AC18" i="57"/>
  <c r="AE18" i="57"/>
  <c r="AG18" i="57"/>
  <c r="I19" i="57"/>
  <c r="M19" i="57"/>
  <c r="U19" i="57"/>
  <c r="AC19" i="57"/>
  <c r="AE19" i="57"/>
  <c r="AG19" i="57"/>
  <c r="L20" i="57"/>
  <c r="M20" i="57" s="1"/>
  <c r="U20" i="57"/>
  <c r="AC20" i="57"/>
  <c r="AE20" i="57"/>
  <c r="AG20" i="57"/>
  <c r="M21" i="57"/>
  <c r="U21" i="57"/>
  <c r="AC21" i="57"/>
  <c r="AE21" i="57"/>
  <c r="AG21" i="57"/>
  <c r="I22" i="57"/>
  <c r="L22" i="57"/>
  <c r="M22" i="57" s="1"/>
  <c r="U22" i="57"/>
  <c r="AC22" i="57"/>
  <c r="AE22" i="57"/>
  <c r="AG22" i="57"/>
  <c r="I23" i="57"/>
  <c r="M23" i="57"/>
  <c r="N23" i="57"/>
  <c r="U23" i="57"/>
  <c r="AC23" i="57"/>
  <c r="AE23" i="57"/>
  <c r="AG23" i="57"/>
  <c r="I24" i="57"/>
  <c r="M24" i="57"/>
  <c r="N24" i="57"/>
  <c r="U24" i="57"/>
  <c r="AC24" i="57"/>
  <c r="AE24" i="57"/>
  <c r="AG24" i="57"/>
  <c r="AM24" i="57"/>
  <c r="AN24" i="57" s="1"/>
  <c r="I25" i="57"/>
  <c r="L25" i="57"/>
  <c r="M25" i="57" s="1"/>
  <c r="U25" i="57"/>
  <c r="AC25" i="57"/>
  <c r="AE25" i="57"/>
  <c r="AG25" i="57"/>
  <c r="I26" i="57"/>
  <c r="M26" i="57"/>
  <c r="N26" i="57"/>
  <c r="U26" i="57"/>
  <c r="V26" i="57"/>
  <c r="W26" i="57" s="1"/>
  <c r="AC26" i="57"/>
  <c r="AE26" i="57"/>
  <c r="AG26" i="57"/>
  <c r="AM26" i="57"/>
  <c r="AN26" i="57"/>
  <c r="AO26" i="57"/>
  <c r="AP26" i="57" s="1"/>
  <c r="T27" i="57"/>
  <c r="AB27" i="57"/>
  <c r="AC27" i="57" s="1"/>
  <c r="AD27" i="57"/>
  <c r="AE27" i="57"/>
  <c r="AF27" i="57"/>
  <c r="W32" i="57"/>
  <c r="W34" i="57"/>
  <c r="N41" i="57"/>
  <c r="O41" i="57" s="1"/>
  <c r="N42" i="57"/>
  <c r="O42" i="57" s="1"/>
  <c r="X37" i="28"/>
  <c r="M17" i="56"/>
  <c r="U17" i="56"/>
  <c r="AC17" i="56"/>
  <c r="AE17" i="56"/>
  <c r="AG17" i="56"/>
  <c r="I18" i="56"/>
  <c r="L18" i="56"/>
  <c r="M18" i="56" s="1"/>
  <c r="U18" i="56"/>
  <c r="AC18" i="56"/>
  <c r="AE18" i="56"/>
  <c r="AG18" i="56"/>
  <c r="M19" i="56"/>
  <c r="U19" i="56"/>
  <c r="AC19" i="56"/>
  <c r="AE19" i="56"/>
  <c r="AG19" i="56"/>
  <c r="I20" i="56"/>
  <c r="L20" i="56"/>
  <c r="U20" i="56"/>
  <c r="AC20" i="56"/>
  <c r="AE20" i="56"/>
  <c r="AG20" i="56"/>
  <c r="AJ20" i="56"/>
  <c r="N21" i="56"/>
  <c r="AK21" i="56" s="1"/>
  <c r="AL21" i="56" s="1"/>
  <c r="M21" i="56"/>
  <c r="R21" i="56"/>
  <c r="S21" i="56" s="1"/>
  <c r="U21" i="56"/>
  <c r="AC21" i="56"/>
  <c r="AE21" i="56"/>
  <c r="AG21" i="56"/>
  <c r="I22" i="56"/>
  <c r="L22" i="56"/>
  <c r="U22" i="56"/>
  <c r="AC22" i="56"/>
  <c r="AE22" i="56"/>
  <c r="AG22" i="56"/>
  <c r="I23" i="56"/>
  <c r="M23" i="56"/>
  <c r="N23" i="56"/>
  <c r="O23" i="56"/>
  <c r="R23" i="56"/>
  <c r="S23" i="56"/>
  <c r="U23" i="56"/>
  <c r="V23" i="56"/>
  <c r="AC23" i="56"/>
  <c r="AE23" i="56"/>
  <c r="AG23" i="56"/>
  <c r="AK23" i="56"/>
  <c r="AL23" i="56" s="1"/>
  <c r="AM23" i="56"/>
  <c r="AN23" i="56"/>
  <c r="AO23" i="56"/>
  <c r="AP23" i="56" s="1"/>
  <c r="AQ23" i="56"/>
  <c r="AR23" i="56" s="1"/>
  <c r="M24" i="56"/>
  <c r="U24" i="56"/>
  <c r="AC24" i="56"/>
  <c r="AE24" i="56"/>
  <c r="AG24" i="56"/>
  <c r="I25" i="56"/>
  <c r="U25" i="56"/>
  <c r="AC25" i="56"/>
  <c r="AE25" i="56"/>
  <c r="AG25" i="56"/>
  <c r="N26" i="56"/>
  <c r="M26" i="56"/>
  <c r="U26" i="56"/>
  <c r="AC26" i="56"/>
  <c r="AE26" i="56"/>
  <c r="AG26" i="56"/>
  <c r="T27" i="56"/>
  <c r="U27" i="56" s="1"/>
  <c r="AB27" i="56"/>
  <c r="AC27" i="56" s="1"/>
  <c r="AE27" i="56"/>
  <c r="AG27" i="56"/>
  <c r="W32" i="56"/>
  <c r="M34" i="56"/>
  <c r="W34" i="56"/>
  <c r="O41" i="56"/>
  <c r="O42" i="56"/>
  <c r="O43" i="56"/>
  <c r="O48" i="56"/>
  <c r="N17" i="55"/>
  <c r="P17" i="55" s="1"/>
  <c r="M17" i="55"/>
  <c r="R17" i="55"/>
  <c r="S17" i="55" s="1"/>
  <c r="U17" i="55"/>
  <c r="Y17" i="55"/>
  <c r="AC17" i="55"/>
  <c r="AE17" i="55"/>
  <c r="AG17" i="55"/>
  <c r="AP17" i="55"/>
  <c r="AR17" i="55"/>
  <c r="I18" i="55"/>
  <c r="K18" i="55"/>
  <c r="L18" i="55" s="1"/>
  <c r="M18" i="55" s="1"/>
  <c r="N18" i="55"/>
  <c r="P18" i="55" s="1"/>
  <c r="U18" i="55"/>
  <c r="Y18" i="55"/>
  <c r="AC18" i="55"/>
  <c r="AE18" i="55"/>
  <c r="AG18" i="55"/>
  <c r="AP18" i="55"/>
  <c r="AR18" i="55"/>
  <c r="I19" i="55"/>
  <c r="M19" i="55"/>
  <c r="U19" i="55"/>
  <c r="AC19" i="55"/>
  <c r="AE19" i="55"/>
  <c r="AG19" i="55"/>
  <c r="AP19" i="55"/>
  <c r="AR19" i="55"/>
  <c r="I20" i="55"/>
  <c r="K20" i="55"/>
  <c r="L20" i="55" s="1"/>
  <c r="M20" i="55" s="1"/>
  <c r="U20" i="55"/>
  <c r="Y20" i="55"/>
  <c r="AC20" i="55"/>
  <c r="AE20" i="55"/>
  <c r="AG20" i="55"/>
  <c r="AP20" i="55"/>
  <c r="AR20" i="55"/>
  <c r="I21" i="55"/>
  <c r="M21" i="55"/>
  <c r="N21" i="55"/>
  <c r="P21" i="55" s="1"/>
  <c r="U21" i="55"/>
  <c r="Y21" i="55"/>
  <c r="AC21" i="55"/>
  <c r="AE21" i="55"/>
  <c r="AG21" i="55"/>
  <c r="AP21" i="55"/>
  <c r="AR21" i="55"/>
  <c r="I22" i="55"/>
  <c r="K22" i="55"/>
  <c r="L22" i="55" s="1"/>
  <c r="U22" i="55"/>
  <c r="Y22" i="55"/>
  <c r="AC22" i="55"/>
  <c r="AE22" i="55"/>
  <c r="AG22" i="55"/>
  <c r="AP22" i="55"/>
  <c r="AR22" i="55"/>
  <c r="I23" i="55"/>
  <c r="M23" i="55"/>
  <c r="N23" i="55"/>
  <c r="P23" i="55" s="1"/>
  <c r="O23" i="55"/>
  <c r="U23" i="55"/>
  <c r="Y23" i="55"/>
  <c r="AC23" i="55"/>
  <c r="AE23" i="55"/>
  <c r="AG23" i="55"/>
  <c r="AJ23" i="55"/>
  <c r="AP23" i="55"/>
  <c r="AR23" i="55"/>
  <c r="I24" i="55"/>
  <c r="M24" i="55"/>
  <c r="N24" i="55"/>
  <c r="R24" i="55"/>
  <c r="S24" i="55" s="1"/>
  <c r="U24" i="55"/>
  <c r="Y24" i="55"/>
  <c r="AC24" i="55"/>
  <c r="AE24" i="55"/>
  <c r="AG24" i="55"/>
  <c r="AM24" i="55"/>
  <c r="AN24" i="55" s="1"/>
  <c r="AP24" i="55"/>
  <c r="AR24" i="55"/>
  <c r="I25" i="55"/>
  <c r="K25" i="55"/>
  <c r="L25" i="55" s="1"/>
  <c r="M25" i="55" s="1"/>
  <c r="U25" i="55"/>
  <c r="Y25" i="55"/>
  <c r="AC25" i="55"/>
  <c r="AE25" i="55"/>
  <c r="AG25" i="55"/>
  <c r="AP25" i="55"/>
  <c r="AR25" i="55"/>
  <c r="N26" i="55"/>
  <c r="P26" i="55" s="1"/>
  <c r="I26" i="55"/>
  <c r="M26" i="55"/>
  <c r="Y26" i="55"/>
  <c r="AC26" i="55"/>
  <c r="AE26" i="55"/>
  <c r="AG26" i="55"/>
  <c r="AP26" i="55"/>
  <c r="AR26" i="55"/>
  <c r="H27" i="55"/>
  <c r="I27" i="55" s="1"/>
  <c r="AB27" i="55"/>
  <c r="AC27" i="55"/>
  <c r="AE27" i="55"/>
  <c r="AG27" i="55"/>
  <c r="AR27" i="55"/>
  <c r="M34" i="55"/>
  <c r="O41" i="55"/>
  <c r="O42" i="55"/>
  <c r="O43" i="55"/>
  <c r="O47" i="55"/>
  <c r="O48" i="55"/>
  <c r="O50" i="55"/>
  <c r="V18" i="28"/>
  <c r="V19" i="28"/>
  <c r="V20" i="28"/>
  <c r="V22" i="28"/>
  <c r="V23" i="28"/>
  <c r="V25" i="28"/>
  <c r="V27" i="28"/>
  <c r="V26" i="28"/>
  <c r="N17" i="54"/>
  <c r="P17" i="54" s="1"/>
  <c r="M17" i="54"/>
  <c r="U17" i="54"/>
  <c r="W17" i="54"/>
  <c r="Y17" i="54"/>
  <c r="AA17" i="54"/>
  <c r="AC17" i="54"/>
  <c r="AE17" i="54"/>
  <c r="AG17" i="54"/>
  <c r="AK17" i="54"/>
  <c r="AM17" i="54"/>
  <c r="AP17" i="54"/>
  <c r="AR17" i="54"/>
  <c r="I18" i="54"/>
  <c r="L18" i="54"/>
  <c r="M18" i="54" s="1"/>
  <c r="U18" i="54"/>
  <c r="W18" i="54"/>
  <c r="Y18" i="54"/>
  <c r="AA18" i="54"/>
  <c r="AC18" i="54"/>
  <c r="AE18" i="54"/>
  <c r="AG18" i="54"/>
  <c r="AP18" i="54"/>
  <c r="AR18" i="54"/>
  <c r="I19" i="54"/>
  <c r="M19" i="54"/>
  <c r="N19" i="54"/>
  <c r="P19" i="54" s="1"/>
  <c r="U19" i="54"/>
  <c r="W19" i="54"/>
  <c r="Y19" i="54"/>
  <c r="AA19" i="54"/>
  <c r="AC19" i="54"/>
  <c r="AE19" i="54"/>
  <c r="AG19" i="54"/>
  <c r="AP19" i="54"/>
  <c r="AR19" i="54"/>
  <c r="I20" i="54"/>
  <c r="L20" i="54"/>
  <c r="M20" i="54" s="1"/>
  <c r="U20" i="54"/>
  <c r="W20" i="54"/>
  <c r="Y20" i="54"/>
  <c r="AA20" i="54"/>
  <c r="AC20" i="54"/>
  <c r="AE20" i="54"/>
  <c r="AG20" i="54"/>
  <c r="AP20" i="54"/>
  <c r="AR20" i="54"/>
  <c r="I21" i="54"/>
  <c r="M21" i="54"/>
  <c r="U21" i="54"/>
  <c r="W21" i="54"/>
  <c r="Y21" i="54"/>
  <c r="AA21" i="54"/>
  <c r="AC21" i="54"/>
  <c r="AE21" i="54"/>
  <c r="AG21" i="54"/>
  <c r="AP21" i="54"/>
  <c r="AR21" i="54"/>
  <c r="I22" i="54"/>
  <c r="K22" i="54"/>
  <c r="L22" i="54"/>
  <c r="M22" i="54" s="1"/>
  <c r="U22" i="54"/>
  <c r="W22" i="54"/>
  <c r="Y22" i="54"/>
  <c r="AA22" i="54"/>
  <c r="AC22" i="54"/>
  <c r="AE22" i="54"/>
  <c r="AG22" i="54"/>
  <c r="AP22" i="54"/>
  <c r="AR22" i="54"/>
  <c r="I23" i="54"/>
  <c r="M23" i="54"/>
  <c r="N23" i="54"/>
  <c r="P23" i="54" s="1"/>
  <c r="Q23" i="54"/>
  <c r="U23" i="54"/>
  <c r="W23" i="54"/>
  <c r="Y23" i="54"/>
  <c r="AA23" i="54"/>
  <c r="AC23" i="54"/>
  <c r="AE23" i="54"/>
  <c r="AG23" i="54"/>
  <c r="AP23" i="54"/>
  <c r="AR23" i="54"/>
  <c r="I24" i="54"/>
  <c r="M24" i="54"/>
  <c r="N24" i="54"/>
  <c r="P24" i="54" s="1"/>
  <c r="U24" i="54"/>
  <c r="W24" i="54"/>
  <c r="Y24" i="54"/>
  <c r="AA24" i="54"/>
  <c r="AC24" i="54"/>
  <c r="AE24" i="54"/>
  <c r="AG24" i="54"/>
  <c r="AP24" i="54"/>
  <c r="AR24" i="54"/>
  <c r="I25" i="54"/>
  <c r="U25" i="54"/>
  <c r="W25" i="54"/>
  <c r="Y25" i="54"/>
  <c r="AA25" i="54"/>
  <c r="AC25" i="54"/>
  <c r="AE25" i="54"/>
  <c r="AG25" i="54"/>
  <c r="AP25" i="54"/>
  <c r="AR25" i="54"/>
  <c r="I26" i="54"/>
  <c r="M26" i="54"/>
  <c r="U26" i="54"/>
  <c r="W26" i="54"/>
  <c r="Y26" i="54"/>
  <c r="AA26" i="54"/>
  <c r="AC26" i="54"/>
  <c r="AE26" i="54"/>
  <c r="AG26" i="54"/>
  <c r="AP26" i="54"/>
  <c r="AR26" i="54"/>
  <c r="I27" i="54"/>
  <c r="AC27" i="54"/>
  <c r="AE27" i="54"/>
  <c r="AG27" i="54"/>
  <c r="AP27" i="54"/>
  <c r="O41" i="54"/>
  <c r="O42" i="54"/>
  <c r="O43" i="54"/>
  <c r="O47" i="54"/>
  <c r="O48" i="54"/>
  <c r="H17" i="53"/>
  <c r="M17" i="53"/>
  <c r="Q17" i="53"/>
  <c r="S17" i="53"/>
  <c r="U17" i="53"/>
  <c r="W17" i="53"/>
  <c r="Y17" i="53"/>
  <c r="AA17" i="53"/>
  <c r="AC17" i="53"/>
  <c r="AE17" i="53"/>
  <c r="AG17" i="53"/>
  <c r="AL17" i="53"/>
  <c r="AN17" i="53"/>
  <c r="AP17" i="53"/>
  <c r="AR17" i="53"/>
  <c r="H18" i="53"/>
  <c r="I18" i="53" s="1"/>
  <c r="L18" i="53"/>
  <c r="M18" i="53" s="1"/>
  <c r="Q18" i="53"/>
  <c r="S18" i="53"/>
  <c r="U18" i="53"/>
  <c r="W18" i="53"/>
  <c r="Y18" i="53"/>
  <c r="AA18" i="53"/>
  <c r="AC18" i="53"/>
  <c r="AE18" i="53"/>
  <c r="AG18" i="53"/>
  <c r="AL18" i="53"/>
  <c r="AN18" i="53"/>
  <c r="AP18" i="53"/>
  <c r="AR18" i="53"/>
  <c r="H19" i="53"/>
  <c r="M19" i="53"/>
  <c r="Q19" i="53"/>
  <c r="S19" i="53"/>
  <c r="U19" i="53"/>
  <c r="W19" i="53"/>
  <c r="Y19" i="53"/>
  <c r="AA19" i="53"/>
  <c r="AC19" i="53"/>
  <c r="AE19" i="53"/>
  <c r="AG19" i="53"/>
  <c r="AL19" i="53"/>
  <c r="AN19" i="53"/>
  <c r="AP19" i="53"/>
  <c r="AR19" i="53"/>
  <c r="H20" i="53"/>
  <c r="I20" i="53" s="1"/>
  <c r="L20" i="53"/>
  <c r="Q20" i="53"/>
  <c r="S20" i="53"/>
  <c r="U20" i="53"/>
  <c r="W20" i="53"/>
  <c r="Y20" i="53"/>
  <c r="AA20" i="53"/>
  <c r="AC20" i="53"/>
  <c r="AE20" i="53"/>
  <c r="AG20" i="53"/>
  <c r="AL20" i="53"/>
  <c r="AN20" i="53"/>
  <c r="AP20" i="53"/>
  <c r="AR20" i="53"/>
  <c r="H21" i="53"/>
  <c r="M21" i="53"/>
  <c r="Q21" i="53"/>
  <c r="S21" i="53"/>
  <c r="U21" i="53"/>
  <c r="W21" i="53"/>
  <c r="Y21" i="53"/>
  <c r="AA21" i="53"/>
  <c r="AC21" i="53"/>
  <c r="AE21" i="53"/>
  <c r="AG21" i="53"/>
  <c r="AL21" i="53"/>
  <c r="AN21" i="53"/>
  <c r="AP21" i="53"/>
  <c r="AR21" i="53"/>
  <c r="I22" i="53"/>
  <c r="K22" i="53"/>
  <c r="L22" i="53" s="1"/>
  <c r="M22" i="53"/>
  <c r="N22" i="53"/>
  <c r="O22" i="53" s="1"/>
  <c r="Q22" i="53"/>
  <c r="S22" i="53"/>
  <c r="U22" i="53"/>
  <c r="W22" i="53"/>
  <c r="Y22" i="53"/>
  <c r="AA22" i="53"/>
  <c r="AC22" i="53"/>
  <c r="AE22" i="53"/>
  <c r="AG22" i="53"/>
  <c r="AL22" i="53"/>
  <c r="AN22" i="53"/>
  <c r="AP22" i="53"/>
  <c r="AR22" i="53"/>
  <c r="I23" i="53"/>
  <c r="M23" i="53"/>
  <c r="N23" i="53"/>
  <c r="O23" i="53"/>
  <c r="Q23" i="53"/>
  <c r="S23" i="53"/>
  <c r="U23" i="53"/>
  <c r="W23" i="53"/>
  <c r="Y23" i="53"/>
  <c r="AA23" i="53"/>
  <c r="AC23" i="53"/>
  <c r="AE23" i="53"/>
  <c r="AG23" i="53"/>
  <c r="AL23" i="53"/>
  <c r="AN23" i="53"/>
  <c r="AP23" i="53"/>
  <c r="AR23" i="53"/>
  <c r="I24" i="53"/>
  <c r="M24" i="53"/>
  <c r="N24" i="53"/>
  <c r="O24" i="53" s="1"/>
  <c r="Q24" i="53"/>
  <c r="U24" i="53"/>
  <c r="W24" i="53"/>
  <c r="Y24" i="53"/>
  <c r="AA24" i="53"/>
  <c r="AC24" i="53"/>
  <c r="AE24" i="53"/>
  <c r="AG24" i="53"/>
  <c r="AL24" i="53"/>
  <c r="AN24" i="53"/>
  <c r="AP24" i="53"/>
  <c r="AR24" i="53"/>
  <c r="I25" i="53"/>
  <c r="L25" i="53"/>
  <c r="M25" i="53" s="1"/>
  <c r="Q25" i="53"/>
  <c r="S25" i="53"/>
  <c r="U25" i="53"/>
  <c r="W25" i="53"/>
  <c r="Y25" i="53"/>
  <c r="AA25" i="53"/>
  <c r="AC25" i="53"/>
  <c r="AE25" i="53"/>
  <c r="AG25" i="53"/>
  <c r="AL25" i="53"/>
  <c r="AN25" i="53"/>
  <c r="AP25" i="53"/>
  <c r="AR25" i="53"/>
  <c r="I26" i="53"/>
  <c r="M26" i="53"/>
  <c r="N26" i="53"/>
  <c r="O26" i="53" s="1"/>
  <c r="Q26" i="53"/>
  <c r="S26" i="53"/>
  <c r="U26" i="53"/>
  <c r="W26" i="53"/>
  <c r="Y26" i="53"/>
  <c r="AA26" i="53"/>
  <c r="AC26" i="53"/>
  <c r="AE26" i="53"/>
  <c r="AG26" i="53"/>
  <c r="AL26" i="53"/>
  <c r="AN26" i="53"/>
  <c r="AP26" i="53"/>
  <c r="AR26" i="53"/>
  <c r="AC27" i="53"/>
  <c r="AE27" i="53"/>
  <c r="AG27" i="53"/>
  <c r="AL27" i="53"/>
  <c r="AN27" i="53"/>
  <c r="AP27" i="53"/>
  <c r="AR27" i="53"/>
  <c r="M34" i="53"/>
  <c r="O41" i="53"/>
  <c r="O42" i="53"/>
  <c r="O43" i="53"/>
  <c r="O48" i="53"/>
  <c r="L26" i="28"/>
  <c r="M26" i="28" s="1"/>
  <c r="N26" i="28" s="1"/>
  <c r="I18" i="28"/>
  <c r="O18" i="28" s="1"/>
  <c r="AA18" i="28" s="1"/>
  <c r="M18" i="28"/>
  <c r="T18" i="28"/>
  <c r="Z18" i="28"/>
  <c r="AD18" i="28"/>
  <c r="AF18" i="28"/>
  <c r="I19" i="28"/>
  <c r="M19" i="28"/>
  <c r="N19" i="28" s="1"/>
  <c r="AX19" i="28"/>
  <c r="AD19" i="28"/>
  <c r="AF19" i="28"/>
  <c r="I20" i="28"/>
  <c r="M20" i="28"/>
  <c r="AX20" i="28"/>
  <c r="AD20" i="28"/>
  <c r="AF20" i="28"/>
  <c r="I21" i="28"/>
  <c r="M21" i="28"/>
  <c r="O21" i="28" s="1"/>
  <c r="AX21" i="28"/>
  <c r="V21" i="28"/>
  <c r="AD21" i="28"/>
  <c r="AF21" i="28"/>
  <c r="I22" i="28"/>
  <c r="J22" i="28" s="1"/>
  <c r="M22" i="28"/>
  <c r="N22" i="28" s="1"/>
  <c r="O22" i="28"/>
  <c r="AX22" i="28"/>
  <c r="AD22" i="28"/>
  <c r="AF22" i="28"/>
  <c r="M23" i="28"/>
  <c r="AX23" i="28"/>
  <c r="AD23" i="28"/>
  <c r="AF23" i="28"/>
  <c r="O24" i="28"/>
  <c r="AX24" i="28"/>
  <c r="V24" i="28"/>
  <c r="AD24" i="28"/>
  <c r="AF24" i="28"/>
  <c r="O25" i="28"/>
  <c r="AX25" i="28"/>
  <c r="AD25" i="28"/>
  <c r="AF25" i="28"/>
  <c r="AX26" i="28"/>
  <c r="AD26" i="28"/>
  <c r="AF26" i="28"/>
  <c r="J27" i="28"/>
  <c r="AX27" i="28"/>
  <c r="AD27" i="28"/>
  <c r="AF27" i="28"/>
  <c r="AG28" i="28"/>
  <c r="AC28" i="28"/>
  <c r="AX42" i="28" s="1"/>
  <c r="U28" i="28"/>
  <c r="O38" i="28" s="1"/>
  <c r="AE28" i="28"/>
  <c r="O43" i="28" s="1"/>
  <c r="O42" i="28"/>
  <c r="P42" i="28" s="1"/>
  <c r="P43" i="28"/>
  <c r="BG28" i="28"/>
  <c r="BF28" i="28"/>
  <c r="BE28" i="28"/>
  <c r="BA28" i="28"/>
  <c r="AX38" i="28" s="1"/>
  <c r="AV28" i="28"/>
  <c r="AD28" i="28"/>
  <c r="AH27" i="28"/>
  <c r="N27" i="28"/>
  <c r="AH26" i="28"/>
  <c r="J26" i="28"/>
  <c r="AH25" i="28"/>
  <c r="N25" i="28"/>
  <c r="AH24" i="28"/>
  <c r="N24" i="28"/>
  <c r="J24" i="28"/>
  <c r="AH23" i="28"/>
  <c r="J23" i="28"/>
  <c r="AH22" i="28"/>
  <c r="AH21" i="28"/>
  <c r="J21" i="28"/>
  <c r="AH20" i="28"/>
  <c r="N20" i="28"/>
  <c r="AH19" i="28"/>
  <c r="J19" i="28"/>
  <c r="AS18" i="28"/>
  <c r="AQ18" i="28"/>
  <c r="AO18" i="28"/>
  <c r="AM18" i="28"/>
  <c r="AH18" i="28"/>
  <c r="N18" i="28"/>
  <c r="AW37" i="55" l="1"/>
  <c r="O37" i="55" s="1"/>
  <c r="U27" i="55"/>
  <c r="U27" i="53"/>
  <c r="BG24" i="57"/>
  <c r="AX27" i="57"/>
  <c r="AW35" i="57" s="1"/>
  <c r="BA27" i="57"/>
  <c r="AW38" i="57" s="1"/>
  <c r="R18" i="57"/>
  <c r="S18" i="57" s="1"/>
  <c r="AK18" i="57"/>
  <c r="AL18" i="57" s="1"/>
  <c r="AO24" i="57"/>
  <c r="AP24" i="57" s="1"/>
  <c r="X24" i="57"/>
  <c r="P24" i="57"/>
  <c r="R23" i="57"/>
  <c r="S23" i="57" s="1"/>
  <c r="P23" i="57"/>
  <c r="X23" i="57"/>
  <c r="X26" i="57"/>
  <c r="Y26" i="57" s="1"/>
  <c r="P26" i="57"/>
  <c r="AQ24" i="57"/>
  <c r="AR24" i="57" s="1"/>
  <c r="AK24" i="57"/>
  <c r="AL24" i="57" s="1"/>
  <c r="V24" i="57"/>
  <c r="W24" i="57" s="1"/>
  <c r="R24" i="57"/>
  <c r="S24" i="57" s="1"/>
  <c r="AQ23" i="57"/>
  <c r="AR23" i="57" s="1"/>
  <c r="X18" i="57"/>
  <c r="P18" i="57"/>
  <c r="Q18" i="57" s="1"/>
  <c r="BG21" i="56"/>
  <c r="AJ21" i="56" s="1"/>
  <c r="W23" i="56"/>
  <c r="AO26" i="56"/>
  <c r="AP26" i="56" s="1"/>
  <c r="X26" i="56"/>
  <c r="P26" i="56"/>
  <c r="Q26" i="56" s="1"/>
  <c r="P23" i="56"/>
  <c r="X23" i="56"/>
  <c r="Y23" i="56" s="1"/>
  <c r="X21" i="56"/>
  <c r="P21" i="56"/>
  <c r="AM21" i="56"/>
  <c r="AN21" i="56" s="1"/>
  <c r="BD36" i="55"/>
  <c r="Y35" i="55" s="1"/>
  <c r="AP27" i="55"/>
  <c r="BD38" i="55"/>
  <c r="Y37" i="55" s="1"/>
  <c r="U37" i="55"/>
  <c r="AW49" i="55"/>
  <c r="O49" i="55" s="1"/>
  <c r="BG25" i="55"/>
  <c r="AJ25" i="55" s="1"/>
  <c r="AK26" i="55"/>
  <c r="AL26" i="55" s="1"/>
  <c r="O24" i="55"/>
  <c r="P24" i="55"/>
  <c r="R21" i="55"/>
  <c r="S21" i="55" s="1"/>
  <c r="N19" i="55"/>
  <c r="AK17" i="55"/>
  <c r="AL17" i="55" s="1"/>
  <c r="V17" i="55"/>
  <c r="W17" i="55" s="1"/>
  <c r="O17" i="55"/>
  <c r="I17" i="55"/>
  <c r="AR27" i="54"/>
  <c r="BB38" i="54"/>
  <c r="BA27" i="54"/>
  <c r="BG22" i="54"/>
  <c r="AJ22" i="54" s="1"/>
  <c r="AM24" i="54"/>
  <c r="AN24" i="54" s="1"/>
  <c r="O24" i="54"/>
  <c r="AM23" i="54"/>
  <c r="AN23" i="54" s="1"/>
  <c r="AK23" i="54"/>
  <c r="AL23" i="54" s="1"/>
  <c r="R23" i="54"/>
  <c r="S23" i="54" s="1"/>
  <c r="O23" i="54"/>
  <c r="AN17" i="54"/>
  <c r="N20" i="54"/>
  <c r="AM19" i="54"/>
  <c r="AN19" i="54" s="1"/>
  <c r="O19" i="54"/>
  <c r="AL17" i="54"/>
  <c r="I17" i="54"/>
  <c r="BC27" i="53"/>
  <c r="AW40" i="53" s="1"/>
  <c r="O40" i="53" s="1"/>
  <c r="BG23" i="53"/>
  <c r="AJ23" i="53" s="1"/>
  <c r="BG24" i="53"/>
  <c r="AJ24" i="53" s="1"/>
  <c r="BG20" i="53"/>
  <c r="AJ20" i="53" s="1"/>
  <c r="BA27" i="53"/>
  <c r="AX27" i="53"/>
  <c r="N18" i="53"/>
  <c r="O18" i="53" s="1"/>
  <c r="L27" i="53"/>
  <c r="M27" i="53" s="1"/>
  <c r="M20" i="53"/>
  <c r="AR27" i="60"/>
  <c r="AS27" i="60" s="1"/>
  <c r="AP27" i="60"/>
  <c r="AQ27" i="60" s="1"/>
  <c r="AL27" i="60"/>
  <c r="AM27" i="60" s="1"/>
  <c r="Y27" i="60"/>
  <c r="AN27" i="60"/>
  <c r="AO27" i="60" s="1"/>
  <c r="Q27" i="60"/>
  <c r="R27" i="60" s="1"/>
  <c r="S24" i="60"/>
  <c r="AN24" i="60"/>
  <c r="Q24" i="60"/>
  <c r="AR24" i="60"/>
  <c r="AP24" i="60"/>
  <c r="AL24" i="60"/>
  <c r="Y24" i="60"/>
  <c r="P25" i="64"/>
  <c r="AA25" i="28"/>
  <c r="AR25" i="28"/>
  <c r="S25" i="28"/>
  <c r="AP25" i="28"/>
  <c r="Q25" i="28"/>
  <c r="AN25" i="28"/>
  <c r="AL25" i="28"/>
  <c r="Y25" i="28"/>
  <c r="W24" i="28"/>
  <c r="AL24" i="28"/>
  <c r="S24" i="28"/>
  <c r="Q24" i="28"/>
  <c r="AR24" i="28"/>
  <c r="AP24" i="28"/>
  <c r="AN24" i="28"/>
  <c r="Y24" i="28"/>
  <c r="AA24" i="28"/>
  <c r="AA21" i="28"/>
  <c r="AR21" i="28"/>
  <c r="AN21" i="28"/>
  <c r="AL21" i="28"/>
  <c r="Y21" i="28"/>
  <c r="S21" i="28"/>
  <c r="AP21" i="28"/>
  <c r="Q21" i="28"/>
  <c r="X24" i="65"/>
  <c r="P24" i="65"/>
  <c r="O24" i="65"/>
  <c r="AW50" i="65"/>
  <c r="BC27" i="65"/>
  <c r="AW40" i="65" s="1"/>
  <c r="W26" i="65"/>
  <c r="BG23" i="65"/>
  <c r="BG22" i="65"/>
  <c r="AV47" i="60"/>
  <c r="W27" i="61"/>
  <c r="AR27" i="61"/>
  <c r="AS27" i="61" s="1"/>
  <c r="AL27" i="61"/>
  <c r="AM27" i="61" s="1"/>
  <c r="AA27" i="61"/>
  <c r="Y27" i="61"/>
  <c r="S27" i="61"/>
  <c r="T27" i="61" s="1"/>
  <c r="Q27" i="61"/>
  <c r="AP27" i="61"/>
  <c r="AQ27" i="61" s="1"/>
  <c r="AN27" i="61"/>
  <c r="AO27" i="61" s="1"/>
  <c r="AP26" i="61"/>
  <c r="AQ26" i="61" s="1"/>
  <c r="AN26" i="61"/>
  <c r="AO26" i="61" s="1"/>
  <c r="AR26" i="61"/>
  <c r="AS26" i="61" s="1"/>
  <c r="AL26" i="61"/>
  <c r="AM26" i="61" s="1"/>
  <c r="AA26" i="61"/>
  <c r="Y26" i="61"/>
  <c r="Z26" i="61" s="1"/>
  <c r="S26" i="61"/>
  <c r="Q26" i="61"/>
  <c r="W24" i="61"/>
  <c r="AP24" i="61"/>
  <c r="AN24" i="61"/>
  <c r="AR24" i="61"/>
  <c r="AL24" i="61"/>
  <c r="AA24" i="61"/>
  <c r="Y24" i="61"/>
  <c r="S24" i="61"/>
  <c r="Q24" i="61"/>
  <c r="AN27" i="62"/>
  <c r="AO27" i="62" s="1"/>
  <c r="AL27" i="62"/>
  <c r="AM27" i="62" s="1"/>
  <c r="S27" i="62"/>
  <c r="T27" i="62" s="1"/>
  <c r="Q27" i="62"/>
  <c r="W25" i="62"/>
  <c r="AN25" i="62"/>
  <c r="AO25" i="62" s="1"/>
  <c r="AL25" i="62"/>
  <c r="AM25" i="62" s="1"/>
  <c r="S25" i="62"/>
  <c r="T25" i="62" s="1"/>
  <c r="Q25" i="62"/>
  <c r="AN24" i="62"/>
  <c r="AL24" i="62"/>
  <c r="S24" i="62"/>
  <c r="Q24" i="62"/>
  <c r="AN25" i="63"/>
  <c r="AL25" i="63"/>
  <c r="S25" i="63"/>
  <c r="Q25" i="63"/>
  <c r="AN27" i="63"/>
  <c r="AL27" i="63"/>
  <c r="S27" i="63"/>
  <c r="Q27" i="63"/>
  <c r="BL26" i="63"/>
  <c r="AS26" i="63" s="1"/>
  <c r="BJ26" i="63"/>
  <c r="BI26" i="63"/>
  <c r="BK26" i="63"/>
  <c r="AQ26" i="63" s="1"/>
  <c r="BK27" i="63"/>
  <c r="AQ27" i="63" s="1"/>
  <c r="BL27" i="63"/>
  <c r="AS27" i="63" s="1"/>
  <c r="BJ27" i="63"/>
  <c r="AO27" i="63" s="1"/>
  <c r="BI27" i="63"/>
  <c r="AM27" i="63" s="1"/>
  <c r="BK25" i="63"/>
  <c r="AQ25" i="63" s="1"/>
  <c r="BL25" i="63"/>
  <c r="AS25" i="63" s="1"/>
  <c r="BJ25" i="63"/>
  <c r="AO25" i="63" s="1"/>
  <c r="BI25" i="63"/>
  <c r="AM25" i="63" s="1"/>
  <c r="BL24" i="63"/>
  <c r="BJ24" i="63"/>
  <c r="BI24" i="63"/>
  <c r="BK24" i="63"/>
  <c r="BK25" i="64"/>
  <c r="AQ25" i="64" s="1"/>
  <c r="BJ25" i="64"/>
  <c r="AO25" i="64" s="1"/>
  <c r="BI25" i="64"/>
  <c r="AM25" i="64" s="1"/>
  <c r="BL25" i="64"/>
  <c r="AS25" i="64" s="1"/>
  <c r="BL24" i="64"/>
  <c r="BI24" i="64"/>
  <c r="BK24" i="64"/>
  <c r="BJ24" i="64"/>
  <c r="BK27" i="64"/>
  <c r="AQ27" i="64" s="1"/>
  <c r="BJ27" i="64"/>
  <c r="AO27" i="64" s="1"/>
  <c r="BL27" i="64"/>
  <c r="AS27" i="64" s="1"/>
  <c r="BI27" i="64"/>
  <c r="AM27" i="64" s="1"/>
  <c r="BL26" i="64"/>
  <c r="AS26" i="64" s="1"/>
  <c r="BI26" i="64"/>
  <c r="AM26" i="64" s="1"/>
  <c r="BK26" i="64"/>
  <c r="AQ26" i="64" s="1"/>
  <c r="BJ26" i="64"/>
  <c r="AO26" i="64" s="1"/>
  <c r="N23" i="61"/>
  <c r="O21" i="61"/>
  <c r="P21" i="61" s="1"/>
  <c r="O22" i="61"/>
  <c r="T22" i="61" s="1"/>
  <c r="W21" i="61"/>
  <c r="X21" i="61" s="1"/>
  <c r="O18" i="61"/>
  <c r="P18" i="61" s="1"/>
  <c r="V37" i="62"/>
  <c r="BE41" i="62"/>
  <c r="AS28" i="62"/>
  <c r="BD19" i="62"/>
  <c r="BC19" i="62"/>
  <c r="Z19" i="62" s="1"/>
  <c r="BB19" i="62"/>
  <c r="AZ19" i="62"/>
  <c r="AY19" i="62"/>
  <c r="R19" i="62" s="1"/>
  <c r="O23" i="62"/>
  <c r="AA23" i="62" s="1"/>
  <c r="P25" i="62"/>
  <c r="J22" i="62"/>
  <c r="I28" i="62"/>
  <c r="J28" i="62" s="1"/>
  <c r="P25" i="63"/>
  <c r="BC27" i="63"/>
  <c r="Z27" i="63" s="1"/>
  <c r="AZ27" i="63"/>
  <c r="BD27" i="63"/>
  <c r="BB27" i="63"/>
  <c r="X27" i="63" s="1"/>
  <c r="AY27" i="63"/>
  <c r="R27" i="63" s="1"/>
  <c r="P27" i="63"/>
  <c r="BD26" i="63"/>
  <c r="AB26" i="63" s="1"/>
  <c r="BB26" i="63"/>
  <c r="AY26" i="63"/>
  <c r="BC26" i="63"/>
  <c r="Z26" i="63" s="1"/>
  <c r="AZ26" i="63"/>
  <c r="BD25" i="63"/>
  <c r="BC25" i="63"/>
  <c r="BB25" i="63"/>
  <c r="AZ25" i="63"/>
  <c r="T25" i="63" s="1"/>
  <c r="AY25" i="63"/>
  <c r="BD24" i="63"/>
  <c r="AB24" i="63" s="1"/>
  <c r="BB24" i="63"/>
  <c r="X24" i="63" s="1"/>
  <c r="AY24" i="63"/>
  <c r="BC24" i="63"/>
  <c r="Z24" i="63" s="1"/>
  <c r="AZ24" i="63"/>
  <c r="BD23" i="63"/>
  <c r="BC23" i="63"/>
  <c r="BB23" i="63"/>
  <c r="X23" i="63" s="1"/>
  <c r="AZ23" i="63"/>
  <c r="AY23" i="63"/>
  <c r="R23" i="63" s="1"/>
  <c r="BD22" i="63"/>
  <c r="AB22" i="63" s="1"/>
  <c r="BB22" i="63"/>
  <c r="X22" i="63" s="1"/>
  <c r="AY22" i="63"/>
  <c r="BC22" i="63"/>
  <c r="Z22" i="63" s="1"/>
  <c r="AZ22" i="63"/>
  <c r="BC21" i="63"/>
  <c r="Z21" i="63" s="1"/>
  <c r="BD21" i="63"/>
  <c r="AB21" i="63" s="1"/>
  <c r="BB21" i="63"/>
  <c r="X21" i="63" s="1"/>
  <c r="AZ21" i="63"/>
  <c r="AY21" i="63"/>
  <c r="R21" i="63" s="1"/>
  <c r="BD20" i="63"/>
  <c r="BB20" i="63"/>
  <c r="X20" i="63" s="1"/>
  <c r="AY20" i="63"/>
  <c r="R20" i="63" s="1"/>
  <c r="BC20" i="63"/>
  <c r="AZ20" i="63"/>
  <c r="BD19" i="63"/>
  <c r="BC19" i="63"/>
  <c r="BB19" i="63"/>
  <c r="AZ19" i="63"/>
  <c r="AY19" i="63"/>
  <c r="O23" i="63"/>
  <c r="O22" i="63"/>
  <c r="BD27" i="64"/>
  <c r="AB27" i="64" s="1"/>
  <c r="BC27" i="64"/>
  <c r="Z27" i="64" s="1"/>
  <c r="BB27" i="64"/>
  <c r="X27" i="64" s="1"/>
  <c r="AZ27" i="64"/>
  <c r="T27" i="64" s="1"/>
  <c r="AY27" i="64"/>
  <c r="R27" i="64" s="1"/>
  <c r="BD26" i="64"/>
  <c r="AB26" i="64" s="1"/>
  <c r="BB26" i="64"/>
  <c r="X26" i="64" s="1"/>
  <c r="AY26" i="64"/>
  <c r="BC26" i="64"/>
  <c r="Z26" i="64" s="1"/>
  <c r="AZ26" i="64"/>
  <c r="T26" i="64" s="1"/>
  <c r="BC25" i="64"/>
  <c r="AY25" i="64"/>
  <c r="R25" i="64" s="1"/>
  <c r="BD25" i="64"/>
  <c r="BB25" i="64"/>
  <c r="AZ25" i="64"/>
  <c r="T25" i="64" s="1"/>
  <c r="BC24" i="64"/>
  <c r="AZ24" i="64"/>
  <c r="T24" i="64" s="1"/>
  <c r="BD24" i="64"/>
  <c r="AB24" i="64" s="1"/>
  <c r="BB24" i="64"/>
  <c r="X24" i="64" s="1"/>
  <c r="AY24" i="64"/>
  <c r="R24" i="64" s="1"/>
  <c r="BC23" i="64"/>
  <c r="Z23" i="64" s="1"/>
  <c r="AY23" i="64"/>
  <c r="BD23" i="64"/>
  <c r="AB23" i="64" s="1"/>
  <c r="BB23" i="64"/>
  <c r="X23" i="64" s="1"/>
  <c r="AZ23" i="64"/>
  <c r="T23" i="64" s="1"/>
  <c r="BC22" i="64"/>
  <c r="AZ22" i="64"/>
  <c r="T22" i="64" s="1"/>
  <c r="BD22" i="64"/>
  <c r="BB22" i="64"/>
  <c r="AY22" i="64"/>
  <c r="BC21" i="64"/>
  <c r="Z21" i="64" s="1"/>
  <c r="BD21" i="64"/>
  <c r="AB21" i="64" s="1"/>
  <c r="BB21" i="64"/>
  <c r="X21" i="64" s="1"/>
  <c r="AZ21" i="64"/>
  <c r="T21" i="64" s="1"/>
  <c r="AY21" i="64"/>
  <c r="R21" i="64" s="1"/>
  <c r="BD20" i="64"/>
  <c r="AB20" i="64" s="1"/>
  <c r="BB20" i="64"/>
  <c r="X20" i="64" s="1"/>
  <c r="AY20" i="64"/>
  <c r="R20" i="64" s="1"/>
  <c r="BC20" i="64"/>
  <c r="AZ20" i="64"/>
  <c r="P20" i="64"/>
  <c r="BC19" i="64"/>
  <c r="BD19" i="64"/>
  <c r="BB19" i="64"/>
  <c r="AZ19" i="64"/>
  <c r="AY19" i="64"/>
  <c r="BD27" i="28"/>
  <c r="BC27" i="28"/>
  <c r="BB27" i="28"/>
  <c r="AZ27" i="28"/>
  <c r="AY27" i="28"/>
  <c r="BK27" i="28"/>
  <c r="BL27" i="28"/>
  <c r="BJ27" i="28"/>
  <c r="BI27" i="28"/>
  <c r="BL26" i="28"/>
  <c r="BJ26" i="28"/>
  <c r="BI26" i="28"/>
  <c r="BD26" i="28"/>
  <c r="BC26" i="28"/>
  <c r="BB26" i="28"/>
  <c r="AZ26" i="28"/>
  <c r="AY26" i="28"/>
  <c r="BK26" i="28"/>
  <c r="BD23" i="28"/>
  <c r="BC23" i="28"/>
  <c r="Z23" i="28" s="1"/>
  <c r="BB23" i="28"/>
  <c r="AZ23" i="28"/>
  <c r="BH23" i="28" s="1"/>
  <c r="AY23" i="28"/>
  <c r="BK23" i="28"/>
  <c r="AQ23" i="28" s="1"/>
  <c r="BL23" i="28"/>
  <c r="AS23" i="28" s="1"/>
  <c r="BJ23" i="28"/>
  <c r="AO23" i="28" s="1"/>
  <c r="BI23" i="28"/>
  <c r="AM23" i="28" s="1"/>
  <c r="BL22" i="28"/>
  <c r="AS22" i="28" s="1"/>
  <c r="BJ22" i="28"/>
  <c r="AO22" i="28" s="1"/>
  <c r="BI22" i="28"/>
  <c r="AM22" i="28" s="1"/>
  <c r="BD22" i="28"/>
  <c r="BC22" i="28"/>
  <c r="Z22" i="28" s="1"/>
  <c r="BB22" i="28"/>
  <c r="AZ22" i="28"/>
  <c r="AY22" i="28"/>
  <c r="BK22" i="28"/>
  <c r="AQ22" i="28" s="1"/>
  <c r="BL20" i="28"/>
  <c r="AS20" i="28" s="1"/>
  <c r="BJ20" i="28"/>
  <c r="AO20" i="28" s="1"/>
  <c r="BI20" i="28"/>
  <c r="AM20" i="28" s="1"/>
  <c r="BD20" i="28"/>
  <c r="BC20" i="28"/>
  <c r="BB20" i="28"/>
  <c r="AZ20" i="28"/>
  <c r="AY20" i="28"/>
  <c r="R20" i="28" s="1"/>
  <c r="BK20" i="28"/>
  <c r="AQ20" i="28" s="1"/>
  <c r="BD25" i="28"/>
  <c r="BC25" i="28"/>
  <c r="Z25" i="28" s="1"/>
  <c r="BB25" i="28"/>
  <c r="AZ25" i="28"/>
  <c r="T25" i="28" s="1"/>
  <c r="AY25" i="28"/>
  <c r="R25" i="28" s="1"/>
  <c r="BK25" i="28"/>
  <c r="AQ25" i="28" s="1"/>
  <c r="BL25" i="28"/>
  <c r="AS25" i="28" s="1"/>
  <c r="BJ25" i="28"/>
  <c r="AO25" i="28" s="1"/>
  <c r="BI25" i="28"/>
  <c r="AM25" i="28" s="1"/>
  <c r="BL24" i="28"/>
  <c r="AS24" i="28" s="1"/>
  <c r="BJ24" i="28"/>
  <c r="AO24" i="28" s="1"/>
  <c r="BI24" i="28"/>
  <c r="BD24" i="28"/>
  <c r="BC24" i="28"/>
  <c r="BB24" i="28"/>
  <c r="X24" i="28" s="1"/>
  <c r="AZ24" i="28"/>
  <c r="T24" i="28" s="1"/>
  <c r="AY24" i="28"/>
  <c r="R24" i="28" s="1"/>
  <c r="BK24" i="28"/>
  <c r="BD21" i="28"/>
  <c r="BC21" i="28"/>
  <c r="BB21" i="28"/>
  <c r="AZ21" i="28"/>
  <c r="T21" i="28" s="1"/>
  <c r="AY21" i="28"/>
  <c r="BK21" i="28"/>
  <c r="AQ21" i="28" s="1"/>
  <c r="BL21" i="28"/>
  <c r="BJ21" i="28"/>
  <c r="AO21" i="28" s="1"/>
  <c r="BI21" i="28"/>
  <c r="BD19" i="28"/>
  <c r="BC19" i="28"/>
  <c r="BB19" i="28"/>
  <c r="AZ19" i="28"/>
  <c r="AY19" i="28"/>
  <c r="BK19" i="28"/>
  <c r="BL19" i="28"/>
  <c r="BJ19" i="28"/>
  <c r="BI19" i="28"/>
  <c r="AB18" i="28"/>
  <c r="AB25" i="28"/>
  <c r="AB24" i="28"/>
  <c r="R21" i="28"/>
  <c r="Z21" i="28"/>
  <c r="Z20" i="28"/>
  <c r="N21" i="65"/>
  <c r="N19" i="65"/>
  <c r="N17" i="65"/>
  <c r="J18" i="28"/>
  <c r="BG20" i="57"/>
  <c r="BG18" i="57"/>
  <c r="BG26" i="57"/>
  <c r="BG21" i="57"/>
  <c r="BG17" i="57"/>
  <c r="BG25" i="56"/>
  <c r="AJ25" i="56" s="1"/>
  <c r="BG19" i="56"/>
  <c r="AJ19" i="56" s="1"/>
  <c r="BG17" i="56"/>
  <c r="AJ17" i="56" s="1"/>
  <c r="BG26" i="55"/>
  <c r="AJ26" i="55" s="1"/>
  <c r="BG17" i="55"/>
  <c r="AJ17" i="55" s="1"/>
  <c r="BG21" i="55"/>
  <c r="AJ21" i="55" s="1"/>
  <c r="BG22" i="55"/>
  <c r="AJ22" i="55" s="1"/>
  <c r="BG18" i="55"/>
  <c r="AJ18" i="55" s="1"/>
  <c r="BD38" i="54"/>
  <c r="BG26" i="54"/>
  <c r="AJ26" i="54" s="1"/>
  <c r="BG25" i="54"/>
  <c r="AJ25" i="54" s="1"/>
  <c r="BG24" i="54"/>
  <c r="AJ24" i="54" s="1"/>
  <c r="BG23" i="54"/>
  <c r="AJ23" i="54" s="1"/>
  <c r="BG17" i="53"/>
  <c r="AJ17" i="53" s="1"/>
  <c r="BG25" i="53"/>
  <c r="AJ25" i="53" s="1"/>
  <c r="BG21" i="53"/>
  <c r="AJ21" i="53" s="1"/>
  <c r="AW35" i="53"/>
  <c r="O35" i="53" s="1"/>
  <c r="Q27" i="53"/>
  <c r="V28" i="60"/>
  <c r="V28" i="61"/>
  <c r="V28" i="62"/>
  <c r="AX38" i="62"/>
  <c r="P38" i="62" s="1"/>
  <c r="V28" i="63"/>
  <c r="AX38" i="63"/>
  <c r="V28" i="64"/>
  <c r="AX38" i="64"/>
  <c r="P38" i="64" s="1"/>
  <c r="AU46" i="65"/>
  <c r="BD38" i="65"/>
  <c r="U27" i="65"/>
  <c r="N37" i="65"/>
  <c r="O37" i="65" s="1"/>
  <c r="BG20" i="65"/>
  <c r="BG26" i="65"/>
  <c r="BG24" i="65"/>
  <c r="Q23" i="65"/>
  <c r="P38" i="28"/>
  <c r="V28" i="28"/>
  <c r="N23" i="28"/>
  <c r="O23" i="28"/>
  <c r="AB18" i="60"/>
  <c r="N22" i="55"/>
  <c r="P22" i="55" s="1"/>
  <c r="M22" i="55"/>
  <c r="J24" i="64"/>
  <c r="O24" i="64"/>
  <c r="P24" i="64" s="1"/>
  <c r="O26" i="28"/>
  <c r="N21" i="28"/>
  <c r="O20" i="28"/>
  <c r="J20" i="28"/>
  <c r="AQ26" i="56"/>
  <c r="AR26" i="56" s="1"/>
  <c r="N21" i="57"/>
  <c r="I21" i="57"/>
  <c r="N26" i="60"/>
  <c r="O26" i="60"/>
  <c r="BH23" i="61"/>
  <c r="AK23" i="61" s="1"/>
  <c r="T18" i="62"/>
  <c r="P21" i="28"/>
  <c r="O27" i="28"/>
  <c r="O19" i="28"/>
  <c r="P18" i="28"/>
  <c r="N20" i="53"/>
  <c r="O20" i="53" s="1"/>
  <c r="L27" i="55"/>
  <c r="M27" i="55" s="1"/>
  <c r="AA26" i="55"/>
  <c r="Q26" i="55"/>
  <c r="O26" i="55"/>
  <c r="R26" i="55"/>
  <c r="S26" i="55" s="1"/>
  <c r="AM26" i="55"/>
  <c r="AN26" i="55" s="1"/>
  <c r="I26" i="56"/>
  <c r="N25" i="57"/>
  <c r="AA18" i="57"/>
  <c r="O18" i="57"/>
  <c r="AQ18" i="57"/>
  <c r="AR18" i="57" s="1"/>
  <c r="AO18" i="57"/>
  <c r="AP18" i="57" s="1"/>
  <c r="Y18" i="57"/>
  <c r="AM18" i="57"/>
  <c r="AN18" i="57" s="1"/>
  <c r="V18" i="57"/>
  <c r="W18" i="57" s="1"/>
  <c r="W26" i="61"/>
  <c r="X26" i="61" s="1"/>
  <c r="AB26" i="61"/>
  <c r="P26" i="61"/>
  <c r="T26" i="61"/>
  <c r="BB28" i="62"/>
  <c r="AX39" i="62" s="1"/>
  <c r="BD28" i="62"/>
  <c r="AX41" i="62" s="1"/>
  <c r="AX28" i="62"/>
  <c r="AV35" i="62" s="1"/>
  <c r="N35" i="62" s="1"/>
  <c r="AK18" i="62"/>
  <c r="R18" i="62"/>
  <c r="W25" i="28"/>
  <c r="X25" i="28" s="1"/>
  <c r="AG27" i="57"/>
  <c r="N43" i="57"/>
  <c r="O43" i="57" s="1"/>
  <c r="W22" i="28"/>
  <c r="P22" i="28"/>
  <c r="T22" i="28"/>
  <c r="Q23" i="55"/>
  <c r="AA23" i="55"/>
  <c r="R23" i="55"/>
  <c r="S23" i="55" s="1"/>
  <c r="V23" i="55"/>
  <c r="W23" i="55" s="1"/>
  <c r="AK23" i="55"/>
  <c r="AL23" i="55" s="1"/>
  <c r="AM23" i="55"/>
  <c r="AN23" i="55" s="1"/>
  <c r="M20" i="56"/>
  <c r="N20" i="56"/>
  <c r="Q24" i="54"/>
  <c r="AK24" i="54"/>
  <c r="AL24" i="54" s="1"/>
  <c r="R24" i="54"/>
  <c r="S24" i="54" s="1"/>
  <c r="N22" i="56"/>
  <c r="M22" i="56"/>
  <c r="R23" i="28"/>
  <c r="P25" i="28"/>
  <c r="I28" i="28"/>
  <c r="J28" i="28" s="1"/>
  <c r="AX28" i="28"/>
  <c r="AV35" i="28" s="1"/>
  <c r="AA22" i="28"/>
  <c r="N19" i="53"/>
  <c r="O19" i="53" s="1"/>
  <c r="I19" i="53"/>
  <c r="AK20" i="54"/>
  <c r="AL20" i="54" s="1"/>
  <c r="Q19" i="54"/>
  <c r="AK19" i="54"/>
  <c r="AL19" i="54" s="1"/>
  <c r="R19" i="54"/>
  <c r="S19" i="54" s="1"/>
  <c r="BH24" i="60"/>
  <c r="R19" i="60"/>
  <c r="R18" i="60"/>
  <c r="BH18" i="60"/>
  <c r="R26" i="61"/>
  <c r="BH26" i="61"/>
  <c r="AK26" i="61" s="1"/>
  <c r="AW38" i="53"/>
  <c r="O38" i="53" s="1"/>
  <c r="W27" i="53"/>
  <c r="AW37" i="54"/>
  <c r="O37" i="54" s="1"/>
  <c r="U27" i="54"/>
  <c r="M28" i="63"/>
  <c r="N28" i="63" s="1"/>
  <c r="N18" i="63"/>
  <c r="AX28" i="60"/>
  <c r="AV35" i="60" s="1"/>
  <c r="X22" i="62"/>
  <c r="O44" i="28"/>
  <c r="AH28" i="28"/>
  <c r="P24" i="28"/>
  <c r="W21" i="28"/>
  <c r="X21" i="28" s="1"/>
  <c r="BH20" i="28"/>
  <c r="BH18" i="28"/>
  <c r="R17" i="54"/>
  <c r="O17" i="54"/>
  <c r="Q21" i="55"/>
  <c r="AA21" i="55"/>
  <c r="O21" i="55"/>
  <c r="V21" i="55"/>
  <c r="W21" i="55" s="1"/>
  <c r="AM21" i="55"/>
  <c r="AN21" i="55" s="1"/>
  <c r="AK21" i="55"/>
  <c r="AL21" i="55" s="1"/>
  <c r="N24" i="56"/>
  <c r="I24" i="56"/>
  <c r="N19" i="60"/>
  <c r="O19" i="60"/>
  <c r="M28" i="60"/>
  <c r="N28" i="60" s="1"/>
  <c r="R22" i="28"/>
  <c r="N21" i="53"/>
  <c r="O21" i="53" s="1"/>
  <c r="I21" i="53"/>
  <c r="AA18" i="55"/>
  <c r="Q18" i="55"/>
  <c r="AM18" i="55"/>
  <c r="AN18" i="55" s="1"/>
  <c r="R18" i="55"/>
  <c r="AK18" i="55"/>
  <c r="V18" i="55"/>
  <c r="O18" i="55"/>
  <c r="AA26" i="56"/>
  <c r="R26" i="56"/>
  <c r="S26" i="56" s="1"/>
  <c r="Y26" i="56"/>
  <c r="AK26" i="56"/>
  <c r="AL26" i="56" s="1"/>
  <c r="V26" i="56"/>
  <c r="W26" i="56" s="1"/>
  <c r="AM26" i="56"/>
  <c r="AN26" i="56" s="1"/>
  <c r="O26" i="56"/>
  <c r="P27" i="60"/>
  <c r="AA27" i="60"/>
  <c r="S27" i="60"/>
  <c r="T27" i="60" s="1"/>
  <c r="W27" i="60"/>
  <c r="X27" i="60" s="1"/>
  <c r="W18" i="60"/>
  <c r="P18" i="60"/>
  <c r="I17" i="56"/>
  <c r="H27" i="56"/>
  <c r="I27" i="56" s="1"/>
  <c r="N17" i="56"/>
  <c r="N19" i="61"/>
  <c r="O19" i="61"/>
  <c r="M28" i="61"/>
  <c r="N28" i="61" s="1"/>
  <c r="Z22" i="62"/>
  <c r="BH22" i="62"/>
  <c r="AK22" i="62" s="1"/>
  <c r="R22" i="62"/>
  <c r="M28" i="28"/>
  <c r="N28" i="28" s="1"/>
  <c r="BH25" i="28"/>
  <c r="BH19" i="28"/>
  <c r="N17" i="53"/>
  <c r="H27" i="53"/>
  <c r="I27" i="53" s="1"/>
  <c r="I17" i="53"/>
  <c r="U27" i="57"/>
  <c r="N37" i="57"/>
  <c r="O37" i="57" s="1"/>
  <c r="R18" i="28"/>
  <c r="AB23" i="60"/>
  <c r="AB27" i="61"/>
  <c r="Q21" i="56"/>
  <c r="AA21" i="56"/>
  <c r="AO21" i="56"/>
  <c r="AP21" i="56" s="1"/>
  <c r="Y21" i="56"/>
  <c r="AA26" i="57"/>
  <c r="Q26" i="57"/>
  <c r="R26" i="57"/>
  <c r="S26" i="57" s="1"/>
  <c r="I20" i="57"/>
  <c r="N20" i="57"/>
  <c r="H27" i="57"/>
  <c r="I27" i="57" s="1"/>
  <c r="J22" i="60"/>
  <c r="O22" i="60"/>
  <c r="R24" i="61"/>
  <c r="Z37" i="62"/>
  <c r="AX51" i="62"/>
  <c r="P51" i="62" s="1"/>
  <c r="P23" i="62"/>
  <c r="W23" i="62"/>
  <c r="AB21" i="28"/>
  <c r="N25" i="53"/>
  <c r="O25" i="53" s="1"/>
  <c r="N18" i="54"/>
  <c r="P18" i="54" s="1"/>
  <c r="AK24" i="55"/>
  <c r="AL24" i="55" s="1"/>
  <c r="V24" i="55"/>
  <c r="W24" i="55" s="1"/>
  <c r="AM19" i="55"/>
  <c r="AN19" i="55" s="1"/>
  <c r="V21" i="56"/>
  <c r="W21" i="56" s="1"/>
  <c r="AQ26" i="57"/>
  <c r="AR26" i="57" s="1"/>
  <c r="Z27" i="60"/>
  <c r="O21" i="60"/>
  <c r="I28" i="60"/>
  <c r="J28" i="60" s="1"/>
  <c r="J21" i="60"/>
  <c r="Z27" i="61"/>
  <c r="R27" i="61"/>
  <c r="P23" i="61"/>
  <c r="T23" i="61"/>
  <c r="BC28" i="61"/>
  <c r="AX40" i="61" s="1"/>
  <c r="N26" i="63"/>
  <c r="O26" i="63"/>
  <c r="N19" i="63"/>
  <c r="O19" i="63"/>
  <c r="BG25" i="57"/>
  <c r="BC27" i="57"/>
  <c r="AW40" i="57" s="1"/>
  <c r="P22" i="61"/>
  <c r="AB22" i="61"/>
  <c r="W22" i="61"/>
  <c r="X22" i="61" s="1"/>
  <c r="Z23" i="62"/>
  <c r="BH23" i="62"/>
  <c r="AK23" i="62" s="1"/>
  <c r="AB23" i="62"/>
  <c r="R20" i="62"/>
  <c r="AF28" i="28"/>
  <c r="N26" i="54"/>
  <c r="P26" i="54" s="1"/>
  <c r="N21" i="54"/>
  <c r="P21" i="54" s="1"/>
  <c r="O21" i="56"/>
  <c r="I19" i="56"/>
  <c r="N19" i="56"/>
  <c r="N18" i="56"/>
  <c r="AK26" i="57"/>
  <c r="AL26" i="57" s="1"/>
  <c r="AA24" i="57"/>
  <c r="Q24" i="57"/>
  <c r="Y24" i="57"/>
  <c r="O24" i="57"/>
  <c r="AK23" i="57"/>
  <c r="AL23" i="57" s="1"/>
  <c r="N19" i="57"/>
  <c r="N17" i="57"/>
  <c r="BH26" i="60"/>
  <c r="O25" i="60"/>
  <c r="AA24" i="60"/>
  <c r="AB24" i="60" s="1"/>
  <c r="J24" i="60"/>
  <c r="BH21" i="60"/>
  <c r="BH24" i="62"/>
  <c r="AK24" i="62" s="1"/>
  <c r="R18" i="61"/>
  <c r="J25" i="28"/>
  <c r="K25" i="54"/>
  <c r="L25" i="54" s="1"/>
  <c r="L27" i="54" s="1"/>
  <c r="M27" i="54" s="1"/>
  <c r="N22" i="54"/>
  <c r="P22" i="54" s="1"/>
  <c r="N25" i="55"/>
  <c r="P25" i="55" s="1"/>
  <c r="AA24" i="55"/>
  <c r="Q24" i="55"/>
  <c r="N20" i="55"/>
  <c r="P20" i="55" s="1"/>
  <c r="AA19" i="55"/>
  <c r="O19" i="55"/>
  <c r="L25" i="56"/>
  <c r="M27" i="56" s="1"/>
  <c r="AQ21" i="56"/>
  <c r="AR21" i="56" s="1"/>
  <c r="BH27" i="60"/>
  <c r="BH25" i="60"/>
  <c r="Z24" i="60"/>
  <c r="T24" i="60"/>
  <c r="R25" i="63"/>
  <c r="BG18" i="65"/>
  <c r="AY27" i="65"/>
  <c r="AW36" i="65" s="1"/>
  <c r="M18" i="57"/>
  <c r="L27" i="57"/>
  <c r="M27" i="57" s="1"/>
  <c r="I21" i="56"/>
  <c r="O26" i="57"/>
  <c r="AA23" i="57"/>
  <c r="Q23" i="57"/>
  <c r="AM23" i="57"/>
  <c r="AN23" i="57" s="1"/>
  <c r="Y23" i="57"/>
  <c r="O23" i="57"/>
  <c r="AO23" i="57"/>
  <c r="AP23" i="57" s="1"/>
  <c r="V23" i="57"/>
  <c r="W23" i="57" s="1"/>
  <c r="N22" i="57"/>
  <c r="I17" i="57"/>
  <c r="O44" i="60"/>
  <c r="P44" i="60" s="1"/>
  <c r="T18" i="60"/>
  <c r="J20" i="61"/>
  <c r="O20" i="61"/>
  <c r="I28" i="61"/>
  <c r="J28" i="61" s="1"/>
  <c r="X37" i="62"/>
  <c r="Z23" i="60"/>
  <c r="O25" i="61"/>
  <c r="J25" i="61"/>
  <c r="BB28" i="61"/>
  <c r="AX39" i="61" s="1"/>
  <c r="R22" i="61"/>
  <c r="R21" i="61"/>
  <c r="Z21" i="61"/>
  <c r="BH21" i="61"/>
  <c r="AK21" i="61" s="1"/>
  <c r="P24" i="62"/>
  <c r="AA24" i="62"/>
  <c r="T27" i="63"/>
  <c r="AB25" i="63"/>
  <c r="Z25" i="63"/>
  <c r="X25" i="63"/>
  <c r="O21" i="63"/>
  <c r="J21" i="63"/>
  <c r="J26" i="64"/>
  <c r="L26" i="64"/>
  <c r="M26" i="64" s="1"/>
  <c r="O26" i="64" s="1"/>
  <c r="P26" i="64" s="1"/>
  <c r="BH19" i="64"/>
  <c r="AX28" i="64"/>
  <c r="AV35" i="64" s="1"/>
  <c r="N35" i="64" s="1"/>
  <c r="AM17" i="55"/>
  <c r="N23" i="60"/>
  <c r="R22" i="60"/>
  <c r="O20" i="60"/>
  <c r="J20" i="60"/>
  <c r="BC41" i="61"/>
  <c r="P24" i="61"/>
  <c r="BH22" i="61"/>
  <c r="AK22" i="61" s="1"/>
  <c r="J21" i="61"/>
  <c r="AQ28" i="62"/>
  <c r="BC39" i="62"/>
  <c r="W24" i="62"/>
  <c r="X24" i="62" s="1"/>
  <c r="J18" i="62"/>
  <c r="O18" i="62"/>
  <c r="J20" i="63"/>
  <c r="O20" i="63"/>
  <c r="I28" i="63"/>
  <c r="J28" i="63" s="1"/>
  <c r="R26" i="64"/>
  <c r="BH26" i="64"/>
  <c r="AK26" i="64" s="1"/>
  <c r="X27" i="61"/>
  <c r="T24" i="61"/>
  <c r="Z24" i="61"/>
  <c r="AB24" i="61"/>
  <c r="X24" i="61"/>
  <c r="Z19" i="61"/>
  <c r="X19" i="63"/>
  <c r="AX28" i="63"/>
  <c r="AV35" i="63" s="1"/>
  <c r="N35" i="63" s="1"/>
  <c r="X18" i="63"/>
  <c r="AE27" i="65"/>
  <c r="AW42" i="65"/>
  <c r="O42" i="65" s="1"/>
  <c r="AF28" i="60"/>
  <c r="P38" i="60"/>
  <c r="R24" i="60"/>
  <c r="W23" i="60"/>
  <c r="X23" i="60" s="1"/>
  <c r="AJ23" i="60" s="1"/>
  <c r="BB28" i="60"/>
  <c r="AX39" i="60" s="1"/>
  <c r="T24" i="62"/>
  <c r="P22" i="62"/>
  <c r="AA22" i="62"/>
  <c r="AB22" i="62" s="1"/>
  <c r="J24" i="63"/>
  <c r="O24" i="63"/>
  <c r="AA23" i="56"/>
  <c r="Q23" i="56"/>
  <c r="AX28" i="61"/>
  <c r="AV35" i="61" s="1"/>
  <c r="N35" i="61" s="1"/>
  <c r="BH25" i="61"/>
  <c r="AK25" i="61" s="1"/>
  <c r="BD28" i="61"/>
  <c r="AX41" i="61" s="1"/>
  <c r="R23" i="62"/>
  <c r="O20" i="62"/>
  <c r="J20" i="62"/>
  <c r="O19" i="62"/>
  <c r="J19" i="62"/>
  <c r="R18" i="63"/>
  <c r="AB22" i="64"/>
  <c r="X22" i="64"/>
  <c r="Z22" i="64"/>
  <c r="R22" i="64"/>
  <c r="AY27" i="54"/>
  <c r="AW36" i="54" s="1"/>
  <c r="O36" i="54" s="1"/>
  <c r="BG19" i="55"/>
  <c r="AJ19" i="55" s="1"/>
  <c r="AY27" i="55"/>
  <c r="AW36" i="55" s="1"/>
  <c r="O36" i="55" s="1"/>
  <c r="AY28" i="61"/>
  <c r="AX36" i="61" s="1"/>
  <c r="O26" i="62"/>
  <c r="R24" i="62"/>
  <c r="X26" i="63"/>
  <c r="BH24" i="63"/>
  <c r="AK24" i="63" s="1"/>
  <c r="J27" i="64"/>
  <c r="O27" i="64"/>
  <c r="P27" i="64" s="1"/>
  <c r="W27" i="62"/>
  <c r="P27" i="62"/>
  <c r="BH26" i="62"/>
  <c r="AK26" i="62" s="1"/>
  <c r="BH25" i="62"/>
  <c r="AK25" i="62" s="1"/>
  <c r="X25" i="62"/>
  <c r="AB25" i="62"/>
  <c r="Z21" i="62"/>
  <c r="BH21" i="62"/>
  <c r="AK21" i="62" s="1"/>
  <c r="BH18" i="63"/>
  <c r="AW49" i="56"/>
  <c r="O49" i="56" s="1"/>
  <c r="BB36" i="56"/>
  <c r="BD36" i="56" s="1"/>
  <c r="P48" i="62"/>
  <c r="AB27" i="62"/>
  <c r="O21" i="62"/>
  <c r="BH27" i="64"/>
  <c r="AK27" i="64" s="1"/>
  <c r="M28" i="62"/>
  <c r="N28" i="62" s="1"/>
  <c r="AB27" i="63"/>
  <c r="Z24" i="64"/>
  <c r="BG25" i="65"/>
  <c r="R24" i="65"/>
  <c r="S24" i="65" s="1"/>
  <c r="AM24" i="65"/>
  <c r="AN24" i="65" s="1"/>
  <c r="AO24" i="65"/>
  <c r="AP24" i="65" s="1"/>
  <c r="AK24" i="65"/>
  <c r="AL24" i="65" s="1"/>
  <c r="V24" i="65"/>
  <c r="W24" i="65" s="1"/>
  <c r="Y24" i="65"/>
  <c r="AA24" i="65"/>
  <c r="AQ24" i="65"/>
  <c r="AR24" i="65" s="1"/>
  <c r="BB27" i="53"/>
  <c r="AY27" i="53"/>
  <c r="BD38" i="57"/>
  <c r="BG26" i="56"/>
  <c r="AJ26" i="56" s="1"/>
  <c r="AX27" i="56"/>
  <c r="AW35" i="56" s="1"/>
  <c r="O35" i="56" s="1"/>
  <c r="Z23" i="63"/>
  <c r="AB23" i="63"/>
  <c r="BH22" i="63"/>
  <c r="AK22" i="63" s="1"/>
  <c r="Z25" i="64"/>
  <c r="X25" i="64"/>
  <c r="AB25" i="64"/>
  <c r="R23" i="64"/>
  <c r="BH23" i="64"/>
  <c r="AK23" i="64" s="1"/>
  <c r="J22" i="64"/>
  <c r="O22" i="64"/>
  <c r="P22" i="64" s="1"/>
  <c r="O19" i="64"/>
  <c r="I28" i="64"/>
  <c r="J28" i="64" s="1"/>
  <c r="AO19" i="65"/>
  <c r="AP19" i="65" s="1"/>
  <c r="AA19" i="65"/>
  <c r="AK19" i="65"/>
  <c r="AL19" i="65" s="1"/>
  <c r="BG17" i="65"/>
  <c r="AX27" i="65"/>
  <c r="AW35" i="65" s="1"/>
  <c r="BC27" i="54"/>
  <c r="BG18" i="54"/>
  <c r="AJ18" i="54" s="1"/>
  <c r="BB27" i="55"/>
  <c r="AU46" i="57"/>
  <c r="R19" i="63"/>
  <c r="Z20" i="64"/>
  <c r="BH20" i="64"/>
  <c r="AK20" i="64" s="1"/>
  <c r="T20" i="64"/>
  <c r="AK18" i="64"/>
  <c r="W23" i="65"/>
  <c r="M22" i="65"/>
  <c r="N22" i="65"/>
  <c r="BG21" i="54"/>
  <c r="AJ21" i="54" s="1"/>
  <c r="AX27" i="54"/>
  <c r="AW35" i="54" s="1"/>
  <c r="O35" i="54" s="1"/>
  <c r="BB27" i="54"/>
  <c r="BG19" i="54"/>
  <c r="AJ19" i="54" s="1"/>
  <c r="BG23" i="56"/>
  <c r="AJ23" i="56" s="1"/>
  <c r="BA27" i="56"/>
  <c r="AW38" i="56" s="1"/>
  <c r="O38" i="56" s="1"/>
  <c r="BH21" i="63"/>
  <c r="AK21" i="63" s="1"/>
  <c r="Z20" i="63"/>
  <c r="AB20" i="63"/>
  <c r="BG24" i="56"/>
  <c r="AJ24" i="56" s="1"/>
  <c r="BC27" i="56"/>
  <c r="AW40" i="56" s="1"/>
  <c r="O40" i="56" s="1"/>
  <c r="BB27" i="56"/>
  <c r="AW39" i="56" s="1"/>
  <c r="O39" i="56" s="1"/>
  <c r="AO21" i="65"/>
  <c r="AP21" i="65" s="1"/>
  <c r="V21" i="65"/>
  <c r="W21" i="65" s="1"/>
  <c r="AA21" i="65"/>
  <c r="BG19" i="65"/>
  <c r="BB27" i="65"/>
  <c r="AW39" i="65" s="1"/>
  <c r="BA27" i="65"/>
  <c r="AW38" i="65" s="1"/>
  <c r="BG17" i="54"/>
  <c r="AU46" i="55"/>
  <c r="M46" i="55" s="1"/>
  <c r="BB38" i="56"/>
  <c r="BD38" i="56" s="1"/>
  <c r="AW50" i="56"/>
  <c r="O50" i="56" s="1"/>
  <c r="R26" i="65"/>
  <c r="S26" i="65" s="1"/>
  <c r="AM26" i="65"/>
  <c r="AN26" i="65" s="1"/>
  <c r="AO26" i="65"/>
  <c r="AP26" i="65" s="1"/>
  <c r="AK26" i="65"/>
  <c r="AL26" i="65" s="1"/>
  <c r="L25" i="65"/>
  <c r="M25" i="65" s="1"/>
  <c r="N20" i="65"/>
  <c r="BG18" i="53"/>
  <c r="AJ18" i="53" s="1"/>
  <c r="O41" i="65"/>
  <c r="H27" i="65"/>
  <c r="I27" i="65" s="1"/>
  <c r="AQ26" i="65"/>
  <c r="AR26" i="65" s="1"/>
  <c r="AA26" i="65"/>
  <c r="AO17" i="65"/>
  <c r="BG22" i="53"/>
  <c r="AJ22" i="53" s="1"/>
  <c r="BH21" i="64"/>
  <c r="AK21" i="64" s="1"/>
  <c r="Y26" i="65"/>
  <c r="N18" i="65"/>
  <c r="AM17" i="65"/>
  <c r="AW49" i="53"/>
  <c r="O49" i="53" s="1"/>
  <c r="BB36" i="53"/>
  <c r="BG26" i="53"/>
  <c r="AJ26" i="53" s="1"/>
  <c r="AW49" i="54"/>
  <c r="BB36" i="54"/>
  <c r="BD36" i="54" s="1"/>
  <c r="BG20" i="55"/>
  <c r="AJ20" i="55" s="1"/>
  <c r="AX27" i="55"/>
  <c r="AW35" i="55" s="1"/>
  <c r="O35" i="55" s="1"/>
  <c r="BC27" i="55"/>
  <c r="AW40" i="55" s="1"/>
  <c r="O40" i="55" s="1"/>
  <c r="BA27" i="55"/>
  <c r="AW38" i="55" s="1"/>
  <c r="O38" i="55" s="1"/>
  <c r="BG19" i="57"/>
  <c r="AY27" i="56"/>
  <c r="AW36" i="56" s="1"/>
  <c r="O36" i="56" s="1"/>
  <c r="BG18" i="56"/>
  <c r="AJ18" i="56" s="1"/>
  <c r="O21" i="64"/>
  <c r="P21" i="64" s="1"/>
  <c r="S23" i="65"/>
  <c r="BG21" i="65"/>
  <c r="AK17" i="65"/>
  <c r="BB38" i="53"/>
  <c r="AW50" i="53"/>
  <c r="O50" i="53" s="1"/>
  <c r="BG24" i="55"/>
  <c r="AJ24" i="55" s="1"/>
  <c r="BG23" i="57"/>
  <c r="BB27" i="57"/>
  <c r="AW39" i="57" s="1"/>
  <c r="BG22" i="56"/>
  <c r="AJ22" i="56" s="1"/>
  <c r="Y23" i="65"/>
  <c r="O23" i="65"/>
  <c r="BB36" i="57"/>
  <c r="BD36" i="57" s="1"/>
  <c r="X22" i="57" l="1"/>
  <c r="Y22" i="57" s="1"/>
  <c r="P22" i="57"/>
  <c r="P25" i="57"/>
  <c r="X25" i="57"/>
  <c r="X19" i="57"/>
  <c r="P19" i="57"/>
  <c r="X20" i="57"/>
  <c r="Y20" i="57" s="1"/>
  <c r="P20" i="57"/>
  <c r="X17" i="57"/>
  <c r="P17" i="57"/>
  <c r="X21" i="57"/>
  <c r="Y21" i="57" s="1"/>
  <c r="P21" i="57"/>
  <c r="X22" i="56"/>
  <c r="P22" i="56"/>
  <c r="Q22" i="56" s="1"/>
  <c r="X24" i="56"/>
  <c r="P24" i="56"/>
  <c r="X18" i="56"/>
  <c r="P18" i="56"/>
  <c r="Q18" i="56" s="1"/>
  <c r="X17" i="56"/>
  <c r="P17" i="56"/>
  <c r="X19" i="56"/>
  <c r="P19" i="56"/>
  <c r="Q19" i="56" s="1"/>
  <c r="X20" i="56"/>
  <c r="P20" i="56"/>
  <c r="Q20" i="56" s="1"/>
  <c r="V19" i="55"/>
  <c r="W19" i="55" s="1"/>
  <c r="P19" i="55"/>
  <c r="Q19" i="55" s="1"/>
  <c r="AK19" i="55"/>
  <c r="AL19" i="55" s="1"/>
  <c r="R19" i="55"/>
  <c r="S19" i="55" s="1"/>
  <c r="AW38" i="54"/>
  <c r="O38" i="54" s="1"/>
  <c r="W27" i="54"/>
  <c r="P20" i="54"/>
  <c r="Q20" i="54" s="1"/>
  <c r="AM20" i="54"/>
  <c r="AN20" i="54" s="1"/>
  <c r="O20" i="54"/>
  <c r="R20" i="54"/>
  <c r="S20" i="54" s="1"/>
  <c r="BD38" i="53"/>
  <c r="Y34" i="53" s="1"/>
  <c r="U34" i="53"/>
  <c r="BD36" i="53"/>
  <c r="Y32" i="53" s="1"/>
  <c r="U32" i="53"/>
  <c r="AA27" i="53"/>
  <c r="AM24" i="60"/>
  <c r="AS24" i="60"/>
  <c r="AO24" i="60"/>
  <c r="AR25" i="60"/>
  <c r="AS25" i="60" s="1"/>
  <c r="AP25" i="60"/>
  <c r="AQ25" i="60" s="1"/>
  <c r="AL25" i="60"/>
  <c r="AM25" i="60" s="1"/>
  <c r="Y25" i="60"/>
  <c r="AN25" i="60"/>
  <c r="AO25" i="60" s="1"/>
  <c r="Q25" i="60"/>
  <c r="R25" i="60" s="1"/>
  <c r="AN26" i="60"/>
  <c r="AO26" i="60" s="1"/>
  <c r="Q26" i="60"/>
  <c r="R26" i="60" s="1"/>
  <c r="AR26" i="60"/>
  <c r="AS26" i="60" s="1"/>
  <c r="AP26" i="60"/>
  <c r="AQ26" i="60" s="1"/>
  <c r="AL26" i="60"/>
  <c r="AM26" i="60" s="1"/>
  <c r="Y26" i="60"/>
  <c r="Z26" i="60" s="1"/>
  <c r="AQ24" i="60"/>
  <c r="AP28" i="60"/>
  <c r="Q28" i="60"/>
  <c r="O36" i="60" s="1"/>
  <c r="AQ27" i="28"/>
  <c r="AR27" i="28"/>
  <c r="AN27" i="28"/>
  <c r="AO27" i="28" s="1"/>
  <c r="AL27" i="28"/>
  <c r="AM27" i="28" s="1"/>
  <c r="Y27" i="28"/>
  <c r="Z27" i="28" s="1"/>
  <c r="S27" i="28"/>
  <c r="T27" i="28" s="1"/>
  <c r="AP27" i="28"/>
  <c r="Q27" i="28"/>
  <c r="R27" i="28" s="1"/>
  <c r="AS27" i="28"/>
  <c r="AL26" i="28"/>
  <c r="S26" i="28"/>
  <c r="Q26" i="28"/>
  <c r="R26" i="28" s="1"/>
  <c r="AR26" i="28"/>
  <c r="AP26" i="28"/>
  <c r="AQ26" i="28" s="1"/>
  <c r="AN26" i="28"/>
  <c r="Y26" i="28"/>
  <c r="Z26" i="28"/>
  <c r="AM26" i="28"/>
  <c r="AS26" i="28"/>
  <c r="AO26" i="28"/>
  <c r="AQ24" i="28"/>
  <c r="AM24" i="28"/>
  <c r="AM21" i="28"/>
  <c r="AS21" i="28"/>
  <c r="O28" i="28"/>
  <c r="M35" i="28" s="1"/>
  <c r="N35" i="28" s="1"/>
  <c r="Y19" i="28"/>
  <c r="AL19" i="28"/>
  <c r="S19" i="28"/>
  <c r="Q19" i="28"/>
  <c r="AR19" i="28"/>
  <c r="AR28" i="28" s="1"/>
  <c r="U37" i="28" s="1"/>
  <c r="Y37" i="28" s="1"/>
  <c r="AP19" i="28"/>
  <c r="AP28" i="28" s="1"/>
  <c r="U35" i="28" s="1"/>
  <c r="Y35" i="28" s="1"/>
  <c r="O50" i="28" s="1"/>
  <c r="AN19" i="28"/>
  <c r="AN28" i="28" s="1"/>
  <c r="O49" i="28" s="1"/>
  <c r="P22" i="65"/>
  <c r="X22" i="65"/>
  <c r="AR25" i="61"/>
  <c r="AS25" i="61" s="1"/>
  <c r="AL25" i="61"/>
  <c r="AM25" i="61" s="1"/>
  <c r="AA25" i="61"/>
  <c r="AB25" i="61" s="1"/>
  <c r="Y25" i="61"/>
  <c r="S25" i="61"/>
  <c r="Q25" i="61"/>
  <c r="AP25" i="61"/>
  <c r="AQ25" i="61" s="1"/>
  <c r="AN25" i="61"/>
  <c r="AO25" i="61" s="1"/>
  <c r="AS24" i="61"/>
  <c r="AQ24" i="61"/>
  <c r="AM24" i="61"/>
  <c r="AL28" i="61"/>
  <c r="AM28" i="61" s="1"/>
  <c r="AO24" i="61"/>
  <c r="AN28" i="61"/>
  <c r="AO28" i="61" s="1"/>
  <c r="AO24" i="62"/>
  <c r="AN26" i="62"/>
  <c r="AO26" i="62" s="1"/>
  <c r="AL26" i="62"/>
  <c r="AM26" i="62" s="1"/>
  <c r="S26" i="62"/>
  <c r="Q26" i="62"/>
  <c r="Q28" i="62" s="1"/>
  <c r="AL28" i="62"/>
  <c r="AM28" i="62" s="1"/>
  <c r="AM24" i="62"/>
  <c r="AL24" i="63"/>
  <c r="S24" i="63"/>
  <c r="Q24" i="63"/>
  <c r="AN24" i="63"/>
  <c r="AL26" i="63"/>
  <c r="S26" i="63"/>
  <c r="Q26" i="63"/>
  <c r="AN26" i="63"/>
  <c r="AO26" i="63" s="1"/>
  <c r="R24" i="63"/>
  <c r="AM26" i="63"/>
  <c r="AQ24" i="63"/>
  <c r="BK28" i="63"/>
  <c r="AO24" i="63"/>
  <c r="BJ28" i="63"/>
  <c r="AM24" i="63"/>
  <c r="BI28" i="63"/>
  <c r="AS24" i="63"/>
  <c r="BL28" i="63"/>
  <c r="AO24" i="64"/>
  <c r="BJ28" i="64"/>
  <c r="AM24" i="64"/>
  <c r="BI28" i="64"/>
  <c r="AQ24" i="64"/>
  <c r="BK28" i="64"/>
  <c r="AS24" i="64"/>
  <c r="BL28" i="64"/>
  <c r="O28" i="60"/>
  <c r="P28" i="60" s="1"/>
  <c r="T21" i="61"/>
  <c r="AB21" i="61"/>
  <c r="W18" i="61"/>
  <c r="BH19" i="62"/>
  <c r="AK19" i="62" s="1"/>
  <c r="AZ28" i="63"/>
  <c r="AX37" i="63" s="1"/>
  <c r="P23" i="63"/>
  <c r="T23" i="63"/>
  <c r="T22" i="63"/>
  <c r="P22" i="63"/>
  <c r="BI28" i="28"/>
  <c r="AS19" i="28"/>
  <c r="BL28" i="28"/>
  <c r="AO19" i="28"/>
  <c r="BJ28" i="28"/>
  <c r="BK28" i="28"/>
  <c r="BH26" i="28"/>
  <c r="BB28" i="28"/>
  <c r="AX39" i="28" s="1"/>
  <c r="BC28" i="28"/>
  <c r="BD28" i="28"/>
  <c r="AX41" i="28" s="1"/>
  <c r="X21" i="65"/>
  <c r="Y21" i="65" s="1"/>
  <c r="P21" i="65"/>
  <c r="Q21" i="65" s="1"/>
  <c r="R21" i="65"/>
  <c r="S21" i="65" s="1"/>
  <c r="AK21" i="65"/>
  <c r="AL21" i="65" s="1"/>
  <c r="AQ21" i="65"/>
  <c r="AR21" i="65" s="1"/>
  <c r="O21" i="65"/>
  <c r="AM21" i="65"/>
  <c r="AN21" i="65" s="1"/>
  <c r="X20" i="65"/>
  <c r="P20" i="65"/>
  <c r="X19" i="65"/>
  <c r="Y19" i="65" s="1"/>
  <c r="P19" i="65"/>
  <c r="Q19" i="65" s="1"/>
  <c r="R19" i="65"/>
  <c r="S19" i="65" s="1"/>
  <c r="O19" i="65"/>
  <c r="AQ19" i="65"/>
  <c r="AR19" i="65" s="1"/>
  <c r="AM19" i="65"/>
  <c r="AN19" i="65" s="1"/>
  <c r="V19" i="65"/>
  <c r="W19" i="65" s="1"/>
  <c r="X18" i="65"/>
  <c r="P18" i="65"/>
  <c r="X17" i="65"/>
  <c r="P17" i="65"/>
  <c r="Q17" i="65" s="1"/>
  <c r="R17" i="65"/>
  <c r="S17" i="65" s="1"/>
  <c r="O17" i="65"/>
  <c r="AQ17" i="65"/>
  <c r="AR17" i="65" s="1"/>
  <c r="AU46" i="56"/>
  <c r="M46" i="56" s="1"/>
  <c r="AJ24" i="60"/>
  <c r="AK24" i="60" s="1"/>
  <c r="P38" i="63"/>
  <c r="AI23" i="65"/>
  <c r="AJ23" i="65" s="1"/>
  <c r="AK19" i="64"/>
  <c r="P28" i="28"/>
  <c r="BH27" i="62"/>
  <c r="AK27" i="62" s="1"/>
  <c r="R27" i="62"/>
  <c r="W20" i="62"/>
  <c r="X20" i="62" s="1"/>
  <c r="P20" i="62"/>
  <c r="T20" i="62"/>
  <c r="AA20" i="62"/>
  <c r="AB20" i="62" s="1"/>
  <c r="Q21" i="54"/>
  <c r="AM21" i="54"/>
  <c r="AN21" i="54" s="1"/>
  <c r="AK21" i="54"/>
  <c r="AL21" i="54" s="1"/>
  <c r="R21" i="54"/>
  <c r="S21" i="54" s="1"/>
  <c r="O21" i="54"/>
  <c r="Q18" i="54"/>
  <c r="R18" i="54"/>
  <c r="S18" i="54" s="1"/>
  <c r="O18" i="54"/>
  <c r="AK18" i="54"/>
  <c r="AM18" i="54"/>
  <c r="AN17" i="65"/>
  <c r="W17" i="65"/>
  <c r="L27" i="65"/>
  <c r="M27" i="65" s="1"/>
  <c r="BG27" i="65"/>
  <c r="BH25" i="64"/>
  <c r="AK25" i="64" s="1"/>
  <c r="BH23" i="63"/>
  <c r="AK23" i="63" s="1"/>
  <c r="AK18" i="63"/>
  <c r="AB18" i="61"/>
  <c r="BH22" i="64"/>
  <c r="AK22" i="64" s="1"/>
  <c r="W19" i="62"/>
  <c r="X19" i="62" s="1"/>
  <c r="P19" i="62"/>
  <c r="AA19" i="62"/>
  <c r="AB19" i="62" s="1"/>
  <c r="AA17" i="55"/>
  <c r="N26" i="64"/>
  <c r="M28" i="64"/>
  <c r="N28" i="64" s="1"/>
  <c r="BH25" i="63"/>
  <c r="AK25" i="63" s="1"/>
  <c r="R19" i="61"/>
  <c r="M25" i="56"/>
  <c r="N25" i="56"/>
  <c r="Q22" i="54"/>
  <c r="AM22" i="54"/>
  <c r="AN22" i="54" s="1"/>
  <c r="O22" i="54"/>
  <c r="AK22" i="54"/>
  <c r="AL22" i="54" s="1"/>
  <c r="R22" i="54"/>
  <c r="S22" i="54" s="1"/>
  <c r="BH20" i="63"/>
  <c r="AK20" i="63" s="1"/>
  <c r="O17" i="53"/>
  <c r="N27" i="53"/>
  <c r="O27" i="53" s="1"/>
  <c r="W18" i="55"/>
  <c r="AQ18" i="65"/>
  <c r="O18" i="65"/>
  <c r="Y18" i="65"/>
  <c r="AK18" i="65"/>
  <c r="AL18" i="65" s="1"/>
  <c r="AO18" i="65"/>
  <c r="AP18" i="65" s="1"/>
  <c r="AM18" i="65"/>
  <c r="AN18" i="65" s="1"/>
  <c r="V18" i="65"/>
  <c r="W18" i="65" s="1"/>
  <c r="AA18" i="65"/>
  <c r="R18" i="65"/>
  <c r="AP17" i="65"/>
  <c r="AQ20" i="65"/>
  <c r="AR20" i="65" s="1"/>
  <c r="O20" i="65"/>
  <c r="Y20" i="65"/>
  <c r="Q20" i="65"/>
  <c r="AK20" i="65"/>
  <c r="AL20" i="65" s="1"/>
  <c r="AO20" i="65"/>
  <c r="AP20" i="65" s="1"/>
  <c r="R20" i="65"/>
  <c r="S20" i="65" s="1"/>
  <c r="AM20" i="65"/>
  <c r="AN20" i="65" s="1"/>
  <c r="V20" i="65"/>
  <c r="W20" i="65" s="1"/>
  <c r="AA20" i="65"/>
  <c r="W21" i="62"/>
  <c r="X21" i="62" s="1"/>
  <c r="P21" i="62"/>
  <c r="AA21" i="62"/>
  <c r="AB21" i="62" s="1"/>
  <c r="T21" i="62"/>
  <c r="R22" i="63"/>
  <c r="BD28" i="63"/>
  <c r="AB19" i="63"/>
  <c r="S20" i="60"/>
  <c r="T20" i="60" s="1"/>
  <c r="AA20" i="60"/>
  <c r="AB20" i="60" s="1"/>
  <c r="P20" i="60"/>
  <c r="W20" i="60"/>
  <c r="X20" i="60" s="1"/>
  <c r="X19" i="64"/>
  <c r="BB28" i="64"/>
  <c r="AZ28" i="61"/>
  <c r="AX37" i="61" s="1"/>
  <c r="AX45" i="61" s="1"/>
  <c r="W25" i="61"/>
  <c r="X25" i="61" s="1"/>
  <c r="P25" i="61"/>
  <c r="T25" i="61"/>
  <c r="M25" i="54"/>
  <c r="N25" i="54"/>
  <c r="S25" i="60"/>
  <c r="T25" i="60" s="1"/>
  <c r="W25" i="60"/>
  <c r="X25" i="60" s="1"/>
  <c r="P25" i="60"/>
  <c r="AA25" i="60"/>
  <c r="AB25" i="60" s="1"/>
  <c r="AZ28" i="28"/>
  <c r="AX37" i="28" s="1"/>
  <c r="AO17" i="56"/>
  <c r="R17" i="56"/>
  <c r="AQ17" i="56"/>
  <c r="N27" i="56"/>
  <c r="O27" i="56" s="1"/>
  <c r="AK17" i="56"/>
  <c r="V17" i="56"/>
  <c r="AM17" i="56"/>
  <c r="O17" i="56"/>
  <c r="AL18" i="55"/>
  <c r="AY28" i="60"/>
  <c r="AJ21" i="28"/>
  <c r="Z20" i="62"/>
  <c r="BC28" i="62"/>
  <c r="W27" i="28"/>
  <c r="X27" i="28" s="1"/>
  <c r="AA27" i="28"/>
  <c r="AB27" i="28" s="1"/>
  <c r="P27" i="28"/>
  <c r="W26" i="60"/>
  <c r="X26" i="60" s="1"/>
  <c r="S26" i="60"/>
  <c r="T26" i="60" s="1"/>
  <c r="AA26" i="60"/>
  <c r="AB26" i="60" s="1"/>
  <c r="P26" i="60"/>
  <c r="BH21" i="28"/>
  <c r="P18" i="63"/>
  <c r="O28" i="63"/>
  <c r="P28" i="63" s="1"/>
  <c r="W20" i="61"/>
  <c r="X20" i="61" s="1"/>
  <c r="T20" i="61"/>
  <c r="P20" i="61"/>
  <c r="AB20" i="61"/>
  <c r="S18" i="55"/>
  <c r="AJ25" i="28"/>
  <c r="AK25" i="28" s="1"/>
  <c r="Z24" i="28"/>
  <c r="AJ24" i="28" s="1"/>
  <c r="O49" i="54"/>
  <c r="AU46" i="54"/>
  <c r="M46" i="54" s="1"/>
  <c r="AW39" i="55"/>
  <c r="O39" i="55" s="1"/>
  <c r="Y27" i="55"/>
  <c r="BH24" i="64"/>
  <c r="AK24" i="64" s="1"/>
  <c r="T24" i="63"/>
  <c r="P24" i="63"/>
  <c r="P21" i="63"/>
  <c r="T21" i="63"/>
  <c r="BH23" i="60"/>
  <c r="AK23" i="60" s="1"/>
  <c r="T23" i="62"/>
  <c r="P36" i="61"/>
  <c r="AO17" i="57"/>
  <c r="R17" i="57"/>
  <c r="O17" i="57"/>
  <c r="AQ17" i="57"/>
  <c r="N27" i="57"/>
  <c r="AK17" i="57"/>
  <c r="AM17" i="57"/>
  <c r="V17" i="57"/>
  <c r="BH24" i="28"/>
  <c r="Q22" i="55"/>
  <c r="AA22" i="55"/>
  <c r="O22" i="55"/>
  <c r="R22" i="55"/>
  <c r="S22" i="55" s="1"/>
  <c r="AM22" i="55"/>
  <c r="AN22" i="55" s="1"/>
  <c r="V22" i="55"/>
  <c r="W22" i="55" s="1"/>
  <c r="AK22" i="55"/>
  <c r="AL22" i="55" s="1"/>
  <c r="BG27" i="53"/>
  <c r="Q26" i="65"/>
  <c r="AI26" i="65" s="1"/>
  <c r="AJ26" i="65" s="1"/>
  <c r="AI19" i="65"/>
  <c r="AJ19" i="65" s="1"/>
  <c r="AW39" i="53"/>
  <c r="O39" i="53" s="1"/>
  <c r="Y27" i="53"/>
  <c r="BH20" i="60"/>
  <c r="AY28" i="63"/>
  <c r="BC28" i="64"/>
  <c r="Z19" i="64"/>
  <c r="Q19" i="57"/>
  <c r="AA19" i="57"/>
  <c r="AO19" i="57"/>
  <c r="AP19" i="57" s="1"/>
  <c r="O19" i="57"/>
  <c r="AM19" i="57"/>
  <c r="AN19" i="57" s="1"/>
  <c r="V19" i="57"/>
  <c r="W19" i="57" s="1"/>
  <c r="Y19" i="57"/>
  <c r="R19" i="57"/>
  <c r="S19" i="57" s="1"/>
  <c r="AK19" i="57"/>
  <c r="AL19" i="57" s="1"/>
  <c r="AQ19" i="57"/>
  <c r="AR19" i="57" s="1"/>
  <c r="P19" i="63"/>
  <c r="AB23" i="61"/>
  <c r="P19" i="60"/>
  <c r="S19" i="60"/>
  <c r="AA19" i="60"/>
  <c r="W19" i="60"/>
  <c r="X19" i="60" s="1"/>
  <c r="AZ28" i="60"/>
  <c r="AX37" i="60" s="1"/>
  <c r="AA22" i="56"/>
  <c r="AM22" i="56"/>
  <c r="AN22" i="56" s="1"/>
  <c r="AK22" i="56"/>
  <c r="AL22" i="56" s="1"/>
  <c r="O22" i="56"/>
  <c r="R22" i="56"/>
  <c r="S22" i="56" s="1"/>
  <c r="Y22" i="56"/>
  <c r="V22" i="56"/>
  <c r="W22" i="56" s="1"/>
  <c r="AQ22" i="56"/>
  <c r="AR22" i="56" s="1"/>
  <c r="AO22" i="56"/>
  <c r="AP22" i="56" s="1"/>
  <c r="X22" i="28"/>
  <c r="AZ28" i="62"/>
  <c r="AX37" i="62" s="1"/>
  <c r="X18" i="28"/>
  <c r="AJ18" i="28" s="1"/>
  <c r="BH27" i="28"/>
  <c r="O22" i="65"/>
  <c r="Y22" i="65"/>
  <c r="Q22" i="65"/>
  <c r="AK22" i="65"/>
  <c r="AL22" i="65" s="1"/>
  <c r="AA22" i="65"/>
  <c r="V22" i="65"/>
  <c r="W22" i="65" s="1"/>
  <c r="R22" i="65"/>
  <c r="S22" i="65" s="1"/>
  <c r="AM22" i="65"/>
  <c r="AN22" i="65" s="1"/>
  <c r="AO22" i="65"/>
  <c r="AP22" i="65" s="1"/>
  <c r="AQ22" i="65"/>
  <c r="AR22" i="65" s="1"/>
  <c r="W26" i="62"/>
  <c r="X26" i="62" s="1"/>
  <c r="AA26" i="62"/>
  <c r="AB26" i="62" s="1"/>
  <c r="P26" i="62"/>
  <c r="T26" i="62"/>
  <c r="V35" i="62"/>
  <c r="BE39" i="62"/>
  <c r="BH22" i="60"/>
  <c r="BG27" i="56"/>
  <c r="P20" i="63"/>
  <c r="T20" i="63"/>
  <c r="AZ28" i="64"/>
  <c r="T19" i="64"/>
  <c r="BH24" i="61"/>
  <c r="AK24" i="61" s="1"/>
  <c r="S17" i="54"/>
  <c r="Z19" i="60"/>
  <c r="BC28" i="60"/>
  <c r="AX40" i="60" s="1"/>
  <c r="R21" i="62"/>
  <c r="AA25" i="57"/>
  <c r="Q25" i="57"/>
  <c r="AM25" i="57"/>
  <c r="AN25" i="57" s="1"/>
  <c r="V25" i="57"/>
  <c r="W25" i="57" s="1"/>
  <c r="Y25" i="57"/>
  <c r="AQ25" i="57"/>
  <c r="AR25" i="57" s="1"/>
  <c r="AO25" i="57"/>
  <c r="AP25" i="57" s="1"/>
  <c r="O25" i="57"/>
  <c r="R25" i="57"/>
  <c r="S25" i="57" s="1"/>
  <c r="AK25" i="57"/>
  <c r="AL25" i="57" s="1"/>
  <c r="AW36" i="53"/>
  <c r="O36" i="53" s="1"/>
  <c r="S27" i="53"/>
  <c r="BH19" i="61"/>
  <c r="Q20" i="55"/>
  <c r="AA20" i="55"/>
  <c r="AM20" i="55"/>
  <c r="AN20" i="55" s="1"/>
  <c r="R20" i="55"/>
  <c r="S20" i="55" s="1"/>
  <c r="O20" i="55"/>
  <c r="AK20" i="55"/>
  <c r="AL20" i="55" s="1"/>
  <c r="V20" i="55"/>
  <c r="W20" i="55" s="1"/>
  <c r="AB27" i="60"/>
  <c r="AJ27" i="60" s="1"/>
  <c r="AK27" i="60" s="1"/>
  <c r="Q17" i="54"/>
  <c r="W26" i="28"/>
  <c r="X26" i="28" s="1"/>
  <c r="AA26" i="28"/>
  <c r="AB26" i="28" s="1"/>
  <c r="P26" i="28"/>
  <c r="T26" i="28"/>
  <c r="Y17" i="65"/>
  <c r="BG27" i="57"/>
  <c r="AW40" i="54"/>
  <c r="O40" i="54" s="1"/>
  <c r="AA27" i="54"/>
  <c r="O28" i="61"/>
  <c r="P28" i="61" s="1"/>
  <c r="R26" i="63"/>
  <c r="BH26" i="63"/>
  <c r="AK26" i="63" s="1"/>
  <c r="BH27" i="63"/>
  <c r="AK27" i="63" s="1"/>
  <c r="BB28" i="63"/>
  <c r="BG27" i="55"/>
  <c r="AN17" i="55"/>
  <c r="AM27" i="55"/>
  <c r="AN27" i="55" s="1"/>
  <c r="AB19" i="64"/>
  <c r="BD28" i="64"/>
  <c r="AB24" i="62"/>
  <c r="AI23" i="57"/>
  <c r="AJ23" i="57" s="1"/>
  <c r="AA18" i="56"/>
  <c r="AQ18" i="56"/>
  <c r="AR18" i="56" s="1"/>
  <c r="V18" i="56"/>
  <c r="W18" i="56" s="1"/>
  <c r="AM18" i="56"/>
  <c r="AN18" i="56" s="1"/>
  <c r="O18" i="56"/>
  <c r="AO18" i="56"/>
  <c r="AP18" i="56" s="1"/>
  <c r="AK18" i="56"/>
  <c r="AL18" i="56" s="1"/>
  <c r="Y18" i="56"/>
  <c r="R18" i="56"/>
  <c r="S18" i="56" s="1"/>
  <c r="BH27" i="61"/>
  <c r="AK27" i="61" s="1"/>
  <c r="X23" i="62"/>
  <c r="BH22" i="28"/>
  <c r="N27" i="55"/>
  <c r="O27" i="55" s="1"/>
  <c r="P44" i="28"/>
  <c r="BH19" i="60"/>
  <c r="AB22" i="28"/>
  <c r="P40" i="61"/>
  <c r="AY28" i="62"/>
  <c r="AI18" i="57"/>
  <c r="AJ18" i="57" s="1"/>
  <c r="T20" i="28"/>
  <c r="AA20" i="28"/>
  <c r="AB20" i="28" s="1"/>
  <c r="W20" i="28"/>
  <c r="X20" i="28" s="1"/>
  <c r="P20" i="28"/>
  <c r="T23" i="28"/>
  <c r="AA23" i="28"/>
  <c r="AB23" i="28" s="1"/>
  <c r="P23" i="28"/>
  <c r="W23" i="28"/>
  <c r="X23" i="28" s="1"/>
  <c r="BC28" i="63"/>
  <c r="Z19" i="63"/>
  <c r="AA24" i="56"/>
  <c r="Q24" i="56"/>
  <c r="Y24" i="56"/>
  <c r="R24" i="56"/>
  <c r="S24" i="56" s="1"/>
  <c r="O24" i="56"/>
  <c r="AQ24" i="56"/>
  <c r="AR24" i="56" s="1"/>
  <c r="AO24" i="56"/>
  <c r="AP24" i="56" s="1"/>
  <c r="AK24" i="56"/>
  <c r="AL24" i="56" s="1"/>
  <c r="AM24" i="56"/>
  <c r="AN24" i="56" s="1"/>
  <c r="V24" i="56"/>
  <c r="W24" i="56" s="1"/>
  <c r="N25" i="65"/>
  <c r="P19" i="64"/>
  <c r="O28" i="64"/>
  <c r="P28" i="64" s="1"/>
  <c r="Q26" i="54"/>
  <c r="AM26" i="54"/>
  <c r="AN26" i="54" s="1"/>
  <c r="AK26" i="54"/>
  <c r="AL26" i="54" s="1"/>
  <c r="R26" i="54"/>
  <c r="S26" i="54" s="1"/>
  <c r="O26" i="54"/>
  <c r="S22" i="60"/>
  <c r="T22" i="60" s="1"/>
  <c r="P22" i="60"/>
  <c r="AA22" i="60"/>
  <c r="AB22" i="60" s="1"/>
  <c r="W22" i="60"/>
  <c r="X22" i="60" s="1"/>
  <c r="AI26" i="57"/>
  <c r="AJ26" i="57" s="1"/>
  <c r="AA20" i="56"/>
  <c r="R20" i="56"/>
  <c r="S20" i="56" s="1"/>
  <c r="AM20" i="56"/>
  <c r="AN20" i="56" s="1"/>
  <c r="O20" i="56"/>
  <c r="AK20" i="56"/>
  <c r="AL20" i="56" s="1"/>
  <c r="V20" i="56"/>
  <c r="W20" i="56" s="1"/>
  <c r="Y20" i="56"/>
  <c r="AQ20" i="56"/>
  <c r="AR20" i="56" s="1"/>
  <c r="AO20" i="56"/>
  <c r="AP20" i="56" s="1"/>
  <c r="BG27" i="54"/>
  <c r="AJ17" i="54"/>
  <c r="Q24" i="65"/>
  <c r="AI24" i="65" s="1"/>
  <c r="AJ24" i="65" s="1"/>
  <c r="X27" i="62"/>
  <c r="Q22" i="57"/>
  <c r="AA22" i="57"/>
  <c r="AO22" i="57"/>
  <c r="AP22" i="57" s="1"/>
  <c r="AK22" i="57"/>
  <c r="AL22" i="57" s="1"/>
  <c r="O22" i="57"/>
  <c r="AM22" i="57"/>
  <c r="AN22" i="57" s="1"/>
  <c r="V22" i="57"/>
  <c r="W22" i="57" s="1"/>
  <c r="R22" i="57"/>
  <c r="S22" i="57" s="1"/>
  <c r="AQ22" i="57"/>
  <c r="AR22" i="57" s="1"/>
  <c r="BH20" i="62"/>
  <c r="AY28" i="28"/>
  <c r="R19" i="28"/>
  <c r="AL17" i="65"/>
  <c r="AA17" i="65"/>
  <c r="AW39" i="54"/>
  <c r="O39" i="54" s="1"/>
  <c r="Y27" i="54"/>
  <c r="X18" i="61"/>
  <c r="T22" i="62"/>
  <c r="BH19" i="63"/>
  <c r="AK19" i="63" s="1"/>
  <c r="R26" i="62"/>
  <c r="O28" i="62"/>
  <c r="P28" i="62" s="1"/>
  <c r="W18" i="62"/>
  <c r="P18" i="62"/>
  <c r="BE41" i="61"/>
  <c r="Q17" i="55"/>
  <c r="P27" i="55"/>
  <c r="Q27" i="55" s="1"/>
  <c r="AY28" i="64"/>
  <c r="R19" i="64"/>
  <c r="AA25" i="55"/>
  <c r="Q25" i="55"/>
  <c r="R25" i="55"/>
  <c r="S25" i="55" s="1"/>
  <c r="AM25" i="55"/>
  <c r="AN25" i="55" s="1"/>
  <c r="O25" i="55"/>
  <c r="V25" i="55"/>
  <c r="W25" i="55" s="1"/>
  <c r="AK25" i="55"/>
  <c r="AL25" i="55" s="1"/>
  <c r="AU46" i="53"/>
  <c r="M46" i="53" s="1"/>
  <c r="AI24" i="57"/>
  <c r="AJ24" i="57" s="1"/>
  <c r="AA19" i="56"/>
  <c r="V19" i="56"/>
  <c r="W19" i="56" s="1"/>
  <c r="AK19" i="56"/>
  <c r="AL19" i="56" s="1"/>
  <c r="AO19" i="56"/>
  <c r="AP19" i="56" s="1"/>
  <c r="AQ19" i="56"/>
  <c r="AR19" i="56" s="1"/>
  <c r="R19" i="56"/>
  <c r="S19" i="56" s="1"/>
  <c r="AM19" i="56"/>
  <c r="AN19" i="56" s="1"/>
  <c r="O19" i="56"/>
  <c r="Y19" i="56"/>
  <c r="R25" i="62"/>
  <c r="P26" i="63"/>
  <c r="T26" i="63"/>
  <c r="P21" i="60"/>
  <c r="AA21" i="60"/>
  <c r="AB21" i="60" s="1"/>
  <c r="S21" i="60"/>
  <c r="T21" i="60" s="1"/>
  <c r="W21" i="60"/>
  <c r="X21" i="60" s="1"/>
  <c r="Q20" i="57"/>
  <c r="AA20" i="57"/>
  <c r="V20" i="57"/>
  <c r="W20" i="57" s="1"/>
  <c r="AM20" i="57"/>
  <c r="AN20" i="57" s="1"/>
  <c r="AO20" i="57"/>
  <c r="AP20" i="57" s="1"/>
  <c r="R20" i="57"/>
  <c r="S20" i="57" s="1"/>
  <c r="O20" i="57"/>
  <c r="AK20" i="57"/>
  <c r="AL20" i="57" s="1"/>
  <c r="AQ20" i="57"/>
  <c r="AR20" i="57" s="1"/>
  <c r="W19" i="61"/>
  <c r="X19" i="61" s="1"/>
  <c r="P19" i="61"/>
  <c r="AB19" i="61"/>
  <c r="X18" i="60"/>
  <c r="AJ18" i="60" s="1"/>
  <c r="BD28" i="60"/>
  <c r="AX41" i="60" s="1"/>
  <c r="W19" i="28"/>
  <c r="X19" i="28" s="1"/>
  <c r="AA19" i="28"/>
  <c r="P19" i="28"/>
  <c r="AA21" i="57"/>
  <c r="Q21" i="57"/>
  <c r="AK21" i="57"/>
  <c r="AL21" i="57" s="1"/>
  <c r="R21" i="57"/>
  <c r="S21" i="57" s="1"/>
  <c r="AQ21" i="57"/>
  <c r="AR21" i="57" s="1"/>
  <c r="AM21" i="57"/>
  <c r="AN21" i="57" s="1"/>
  <c r="V21" i="57"/>
  <c r="W21" i="57" s="1"/>
  <c r="AO21" i="57"/>
  <c r="AP21" i="57" s="1"/>
  <c r="O21" i="57"/>
  <c r="P25" i="56" l="1"/>
  <c r="X25" i="56"/>
  <c r="Y25" i="56" s="1"/>
  <c r="N27" i="54"/>
  <c r="O27" i="54" s="1"/>
  <c r="P25" i="54"/>
  <c r="AN18" i="54"/>
  <c r="AL18" i="54"/>
  <c r="U35" i="60"/>
  <c r="AQ28" i="60"/>
  <c r="Z25" i="60"/>
  <c r="Y28" i="60"/>
  <c r="O40" i="60" s="1"/>
  <c r="AL28" i="60"/>
  <c r="AN28" i="60"/>
  <c r="AR28" i="60"/>
  <c r="Q28" i="28"/>
  <c r="O36" i="28" s="1"/>
  <c r="AL28" i="28"/>
  <c r="O48" i="28" s="1"/>
  <c r="AQ19" i="28"/>
  <c r="AM19" i="28"/>
  <c r="Y28" i="28"/>
  <c r="O40" i="28" s="1"/>
  <c r="Z19" i="28"/>
  <c r="P25" i="65"/>
  <c r="Q25" i="65" s="1"/>
  <c r="X25" i="65"/>
  <c r="Y25" i="65" s="1"/>
  <c r="AP28" i="61"/>
  <c r="AR28" i="61"/>
  <c r="R25" i="61"/>
  <c r="Q28" i="61"/>
  <c r="R28" i="61" s="1"/>
  <c r="Z25" i="61"/>
  <c r="Y28" i="61"/>
  <c r="Z28" i="61" s="1"/>
  <c r="AN28" i="62"/>
  <c r="AO28" i="62" s="1"/>
  <c r="AN28" i="63"/>
  <c r="Q28" i="63"/>
  <c r="AL28" i="63"/>
  <c r="AS28" i="63"/>
  <c r="BC41" i="63"/>
  <c r="AX48" i="63"/>
  <c r="P48" i="63" s="1"/>
  <c r="AM28" i="63"/>
  <c r="AX49" i="63"/>
  <c r="P49" i="63" s="1"/>
  <c r="AO28" i="63"/>
  <c r="BC39" i="63"/>
  <c r="AQ28" i="63"/>
  <c r="AX36" i="63"/>
  <c r="P36" i="63" s="1"/>
  <c r="AS28" i="64"/>
  <c r="BC41" i="64"/>
  <c r="AQ28" i="64"/>
  <c r="BC39" i="64"/>
  <c r="AM28" i="64"/>
  <c r="AX48" i="64"/>
  <c r="AO28" i="64"/>
  <c r="AX49" i="64"/>
  <c r="P49" i="64" s="1"/>
  <c r="M35" i="60"/>
  <c r="N35" i="60" s="1"/>
  <c r="R28" i="63"/>
  <c r="AX49" i="28"/>
  <c r="P49" i="28" s="1"/>
  <c r="AO28" i="28"/>
  <c r="BC41" i="28"/>
  <c r="AS28" i="28"/>
  <c r="BC39" i="28"/>
  <c r="AQ28" i="28"/>
  <c r="AX48" i="28"/>
  <c r="P48" i="28" s="1"/>
  <c r="AM28" i="28"/>
  <c r="AX40" i="28"/>
  <c r="AI21" i="65"/>
  <c r="AJ21" i="65" s="1"/>
  <c r="AJ22" i="28"/>
  <c r="AK22" i="28" s="1"/>
  <c r="AI21" i="57"/>
  <c r="AJ21" i="57" s="1"/>
  <c r="Z28" i="60"/>
  <c r="P40" i="60"/>
  <c r="BH28" i="60"/>
  <c r="R28" i="60"/>
  <c r="AX36" i="60"/>
  <c r="P45" i="61"/>
  <c r="AV53" i="61"/>
  <c r="N53" i="61" s="1"/>
  <c r="AX54" i="61"/>
  <c r="P54" i="61" s="1"/>
  <c r="Z28" i="62"/>
  <c r="AX40" i="62"/>
  <c r="P40" i="62" s="1"/>
  <c r="R28" i="62"/>
  <c r="AX36" i="62"/>
  <c r="AB28" i="63"/>
  <c r="AX41" i="63"/>
  <c r="P41" i="63" s="1"/>
  <c r="Z28" i="63"/>
  <c r="AX40" i="63"/>
  <c r="P40" i="63" s="1"/>
  <c r="X28" i="63"/>
  <c r="AX39" i="63"/>
  <c r="AB28" i="64"/>
  <c r="AX41" i="64"/>
  <c r="P41" i="64" s="1"/>
  <c r="Z28" i="64"/>
  <c r="AX40" i="64"/>
  <c r="P40" i="64" s="1"/>
  <c r="X28" i="64"/>
  <c r="AX39" i="64"/>
  <c r="P39" i="64" s="1"/>
  <c r="T28" i="64"/>
  <c r="AX37" i="64"/>
  <c r="P37" i="64" s="1"/>
  <c r="R28" i="64"/>
  <c r="AX36" i="64"/>
  <c r="AI17" i="65"/>
  <c r="AJ17" i="65" s="1"/>
  <c r="AK24" i="28"/>
  <c r="BH28" i="28"/>
  <c r="R28" i="28"/>
  <c r="AX36" i="28"/>
  <c r="P36" i="28" s="1"/>
  <c r="AK18" i="28"/>
  <c r="AK20" i="62"/>
  <c r="BH28" i="62"/>
  <c r="AK28" i="62" s="1"/>
  <c r="W28" i="62"/>
  <c r="X18" i="62"/>
  <c r="AJ23" i="28"/>
  <c r="AK23" i="28" s="1"/>
  <c r="Z35" i="62"/>
  <c r="AX50" i="62"/>
  <c r="AP17" i="57"/>
  <c r="AO27" i="57"/>
  <c r="T19" i="62"/>
  <c r="S28" i="62"/>
  <c r="AI20" i="57"/>
  <c r="AJ20" i="57" s="1"/>
  <c r="W28" i="61"/>
  <c r="AI22" i="65"/>
  <c r="AJ22" i="65" s="1"/>
  <c r="AN17" i="57"/>
  <c r="AM27" i="57"/>
  <c r="P27" i="57"/>
  <c r="Q17" i="57"/>
  <c r="AK27" i="55"/>
  <c r="AL27" i="55" s="1"/>
  <c r="AR17" i="56"/>
  <c r="AJ25" i="60"/>
  <c r="AK25" i="60" s="1"/>
  <c r="AJ20" i="60"/>
  <c r="AK20" i="60" s="1"/>
  <c r="AW53" i="65"/>
  <c r="AU52" i="65"/>
  <c r="AW44" i="65"/>
  <c r="T19" i="61"/>
  <c r="S28" i="61"/>
  <c r="AB18" i="62"/>
  <c r="AA28" i="62"/>
  <c r="V25" i="65"/>
  <c r="W25" i="65" s="1"/>
  <c r="AQ25" i="65"/>
  <c r="AR25" i="65" s="1"/>
  <c r="O25" i="65"/>
  <c r="R25" i="65"/>
  <c r="S25" i="65" s="1"/>
  <c r="AK25" i="65"/>
  <c r="AL25" i="65" s="1"/>
  <c r="AM25" i="65"/>
  <c r="AN25" i="65" s="1"/>
  <c r="AO25" i="65"/>
  <c r="AP25" i="65" s="1"/>
  <c r="N27" i="65"/>
  <c r="Z27" i="57"/>
  <c r="AA17" i="57"/>
  <c r="S17" i="56"/>
  <c r="BH28" i="64"/>
  <c r="AK28" i="64" s="1"/>
  <c r="AI20" i="65"/>
  <c r="AJ20" i="65" s="1"/>
  <c r="AJ21" i="60"/>
  <c r="AK21" i="60" s="1"/>
  <c r="AW44" i="57"/>
  <c r="AU52" i="57"/>
  <c r="AW53" i="57"/>
  <c r="AN17" i="56"/>
  <c r="Z27" i="55"/>
  <c r="AA27" i="55" s="1"/>
  <c r="T19" i="60"/>
  <c r="S28" i="60"/>
  <c r="O51" i="28"/>
  <c r="M47" i="28" s="1"/>
  <c r="AR17" i="57"/>
  <c r="AQ27" i="57"/>
  <c r="W17" i="56"/>
  <c r="AA17" i="56"/>
  <c r="BH28" i="63"/>
  <c r="AK28" i="63" s="1"/>
  <c r="AM27" i="65"/>
  <c r="Y17" i="57"/>
  <c r="X27" i="57"/>
  <c r="S28" i="63"/>
  <c r="T19" i="63"/>
  <c r="AJ26" i="60"/>
  <c r="AK26" i="60" s="1"/>
  <c r="AP17" i="56"/>
  <c r="AA28" i="61"/>
  <c r="AB19" i="60"/>
  <c r="AA28" i="60"/>
  <c r="Q17" i="56"/>
  <c r="P27" i="56"/>
  <c r="Q27" i="56" s="1"/>
  <c r="Q18" i="65"/>
  <c r="P27" i="65"/>
  <c r="AB19" i="28"/>
  <c r="AA28" i="28"/>
  <c r="AK18" i="60"/>
  <c r="AK27" i="65"/>
  <c r="AW53" i="54"/>
  <c r="O53" i="54" s="1"/>
  <c r="AU52" i="54"/>
  <c r="M52" i="54" s="1"/>
  <c r="AW44" i="54"/>
  <c r="O44" i="54" s="1"/>
  <c r="AJ27" i="54"/>
  <c r="AJ22" i="60"/>
  <c r="AK22" i="60" s="1"/>
  <c r="AK19" i="61"/>
  <c r="BH28" i="61"/>
  <c r="AK28" i="61" s="1"/>
  <c r="AW44" i="56"/>
  <c r="O44" i="56" s="1"/>
  <c r="AW53" i="56"/>
  <c r="O53" i="56" s="1"/>
  <c r="AJ27" i="56"/>
  <c r="AU52" i="56"/>
  <c r="M52" i="56" s="1"/>
  <c r="AW44" i="53"/>
  <c r="O44" i="53" s="1"/>
  <c r="AW53" i="53"/>
  <c r="O53" i="53" s="1"/>
  <c r="AU52" i="53"/>
  <c r="M52" i="53" s="1"/>
  <c r="AJ27" i="53"/>
  <c r="AK21" i="28"/>
  <c r="AL17" i="56"/>
  <c r="S18" i="65"/>
  <c r="Q25" i="56"/>
  <c r="AA25" i="56"/>
  <c r="AQ25" i="56"/>
  <c r="AR25" i="56" s="1"/>
  <c r="AM25" i="56"/>
  <c r="AN25" i="56" s="1"/>
  <c r="R25" i="56"/>
  <c r="S25" i="56" s="1"/>
  <c r="AO25" i="56"/>
  <c r="AP25" i="56" s="1"/>
  <c r="AK25" i="56"/>
  <c r="AL25" i="56" s="1"/>
  <c r="V25" i="56"/>
  <c r="W25" i="56" s="1"/>
  <c r="O25" i="56"/>
  <c r="W28" i="28"/>
  <c r="AJ26" i="28"/>
  <c r="AK26" i="28" s="1"/>
  <c r="AI25" i="57"/>
  <c r="AJ25" i="57" s="1"/>
  <c r="AL17" i="57"/>
  <c r="AK27" i="57"/>
  <c r="AU52" i="55"/>
  <c r="M52" i="55" s="1"/>
  <c r="AW44" i="55"/>
  <c r="O44" i="55" s="1"/>
  <c r="AW53" i="55"/>
  <c r="O53" i="55" s="1"/>
  <c r="AJ27" i="55"/>
  <c r="L34" i="57"/>
  <c r="O27" i="57"/>
  <c r="Q25" i="54"/>
  <c r="AK25" i="54"/>
  <c r="AL25" i="54" s="1"/>
  <c r="R25" i="54"/>
  <c r="S25" i="54" s="1"/>
  <c r="O25" i="54"/>
  <c r="AM25" i="54"/>
  <c r="AN25" i="54" s="1"/>
  <c r="T19" i="28"/>
  <c r="S28" i="28"/>
  <c r="W28" i="60"/>
  <c r="AX51" i="61"/>
  <c r="AI22" i="57"/>
  <c r="AJ22" i="57" s="1"/>
  <c r="AJ20" i="28"/>
  <c r="AK20" i="28" s="1"/>
  <c r="AI19" i="57"/>
  <c r="AJ19" i="57" s="1"/>
  <c r="W17" i="57"/>
  <c r="V27" i="57"/>
  <c r="S17" i="57"/>
  <c r="R27" i="57"/>
  <c r="R27" i="55"/>
  <c r="S27" i="55" s="1"/>
  <c r="AJ27" i="28"/>
  <c r="AK27" i="28" s="1"/>
  <c r="Y17" i="56"/>
  <c r="AR18" i="65"/>
  <c r="AQ27" i="65"/>
  <c r="X27" i="56" l="1"/>
  <c r="Y27" i="56" s="1"/>
  <c r="Z27" i="56"/>
  <c r="AA27" i="56" s="1"/>
  <c r="AK27" i="56"/>
  <c r="AL27" i="56" s="1"/>
  <c r="AO27" i="56"/>
  <c r="AP27" i="56" s="1"/>
  <c r="V27" i="56"/>
  <c r="W27" i="56" s="1"/>
  <c r="AQ27" i="56"/>
  <c r="AR27" i="56" s="1"/>
  <c r="R27" i="54"/>
  <c r="S27" i="54" s="1"/>
  <c r="AK27" i="54"/>
  <c r="AL27" i="54" s="1"/>
  <c r="AM27" i="54"/>
  <c r="AN27" i="54" s="1"/>
  <c r="O49" i="60"/>
  <c r="P49" i="60" s="1"/>
  <c r="AO28" i="60"/>
  <c r="U37" i="60"/>
  <c r="AS28" i="60"/>
  <c r="O48" i="60"/>
  <c r="P48" i="60" s="1"/>
  <c r="AM28" i="60"/>
  <c r="V35" i="60"/>
  <c r="Y35" i="60"/>
  <c r="P40" i="28"/>
  <c r="Z28" i="28"/>
  <c r="V27" i="65"/>
  <c r="N38" i="65" s="1"/>
  <c r="O38" i="65" s="1"/>
  <c r="AO27" i="65"/>
  <c r="U37" i="61"/>
  <c r="AS28" i="61"/>
  <c r="AQ28" i="61"/>
  <c r="U35" i="61"/>
  <c r="BE41" i="63"/>
  <c r="V37" i="63"/>
  <c r="BE39" i="63"/>
  <c r="V35" i="63"/>
  <c r="P48" i="64"/>
  <c r="BE39" i="64"/>
  <c r="V35" i="64"/>
  <c r="V37" i="64"/>
  <c r="BE41" i="64"/>
  <c r="V35" i="28"/>
  <c r="BE39" i="28"/>
  <c r="BE41" i="28"/>
  <c r="V37" i="28"/>
  <c r="AJ19" i="28"/>
  <c r="AK19" i="28" s="1"/>
  <c r="AI18" i="65"/>
  <c r="AJ18" i="65" s="1"/>
  <c r="AJ19" i="60"/>
  <c r="AK19" i="60" s="1"/>
  <c r="AX45" i="60"/>
  <c r="P36" i="60"/>
  <c r="AX45" i="62"/>
  <c r="P36" i="62"/>
  <c r="P39" i="63"/>
  <c r="AX45" i="63"/>
  <c r="AX45" i="64"/>
  <c r="P36" i="64"/>
  <c r="O37" i="28"/>
  <c r="P37" i="28" s="1"/>
  <c r="T28" i="28"/>
  <c r="R27" i="65"/>
  <c r="O41" i="28"/>
  <c r="AB28" i="28"/>
  <c r="P41" i="61"/>
  <c r="AB28" i="61"/>
  <c r="AN27" i="65"/>
  <c r="N48" i="65"/>
  <c r="O48" i="65" s="1"/>
  <c r="R27" i="56"/>
  <c r="S27" i="56" s="1"/>
  <c r="P41" i="62"/>
  <c r="AB28" i="62"/>
  <c r="T28" i="62"/>
  <c r="P37" i="62"/>
  <c r="P39" i="62"/>
  <c r="X28" i="62"/>
  <c r="P27" i="54"/>
  <c r="Q27" i="54" s="1"/>
  <c r="M34" i="57"/>
  <c r="O37" i="60"/>
  <c r="P37" i="60" s="1"/>
  <c r="T28" i="60"/>
  <c r="T32" i="65"/>
  <c r="AP27" i="65"/>
  <c r="P50" i="62"/>
  <c r="AV47" i="62"/>
  <c r="N47" i="62" s="1"/>
  <c r="S27" i="57"/>
  <c r="N36" i="57"/>
  <c r="O36" i="57" s="1"/>
  <c r="O39" i="28"/>
  <c r="P39" i="28" s="1"/>
  <c r="X28" i="28"/>
  <c r="N47" i="65"/>
  <c r="AL27" i="65"/>
  <c r="T28" i="63"/>
  <c r="P37" i="63"/>
  <c r="AI17" i="57"/>
  <c r="N35" i="65"/>
  <c r="O35" i="65" s="1"/>
  <c r="Q27" i="65"/>
  <c r="AP27" i="57"/>
  <c r="T32" i="57"/>
  <c r="AA27" i="57"/>
  <c r="N40" i="57"/>
  <c r="O40" i="57" s="1"/>
  <c r="P51" i="61"/>
  <c r="AV47" i="61"/>
  <c r="N47" i="61" s="1"/>
  <c r="AB28" i="60"/>
  <c r="O41" i="60"/>
  <c r="Y27" i="57"/>
  <c r="N39" i="57"/>
  <c r="O39" i="57" s="1"/>
  <c r="T34" i="57"/>
  <c r="AR27" i="57"/>
  <c r="Q27" i="57"/>
  <c r="N35" i="57"/>
  <c r="O35" i="57" s="1"/>
  <c r="X28" i="61"/>
  <c r="P39" i="61"/>
  <c r="W27" i="65"/>
  <c r="T32" i="56"/>
  <c r="P37" i="61"/>
  <c r="T28" i="61"/>
  <c r="T34" i="56"/>
  <c r="AJ28" i="28"/>
  <c r="O27" i="65"/>
  <c r="L34" i="65"/>
  <c r="T34" i="65"/>
  <c r="AR27" i="65"/>
  <c r="N38" i="57"/>
  <c r="O38" i="57" s="1"/>
  <c r="W27" i="57"/>
  <c r="X28" i="60"/>
  <c r="O39" i="60"/>
  <c r="P39" i="60" s="1"/>
  <c r="AL27" i="57"/>
  <c r="N47" i="57"/>
  <c r="X27" i="65"/>
  <c r="AM27" i="56"/>
  <c r="AN27" i="56" s="1"/>
  <c r="AA25" i="65"/>
  <c r="AI25" i="65" s="1"/>
  <c r="Z27" i="65"/>
  <c r="N48" i="57"/>
  <c r="O48" i="57" s="1"/>
  <c r="AN27" i="57"/>
  <c r="AJ28" i="60" l="1"/>
  <c r="AK28" i="60" s="1"/>
  <c r="Z35" i="60"/>
  <c r="O50" i="60"/>
  <c r="V37" i="60"/>
  <c r="Y37" i="60"/>
  <c r="Y35" i="61"/>
  <c r="Z35" i="61" s="1"/>
  <c r="V35" i="61"/>
  <c r="Y37" i="61"/>
  <c r="Z37" i="61" s="1"/>
  <c r="V37" i="61"/>
  <c r="AX50" i="63"/>
  <c r="Z35" i="63"/>
  <c r="AX51" i="63"/>
  <c r="P51" i="63" s="1"/>
  <c r="Z37" i="63"/>
  <c r="Z35" i="64"/>
  <c r="AX50" i="64"/>
  <c r="AX51" i="64"/>
  <c r="P51" i="64" s="1"/>
  <c r="Z37" i="64"/>
  <c r="AX50" i="28"/>
  <c r="Z35" i="28"/>
  <c r="AX51" i="28"/>
  <c r="P51" i="28" s="1"/>
  <c r="Z37" i="28"/>
  <c r="AV53" i="60"/>
  <c r="AX54" i="60"/>
  <c r="AV53" i="62"/>
  <c r="N53" i="62" s="1"/>
  <c r="AX54" i="62"/>
  <c r="P54" i="62" s="1"/>
  <c r="P45" i="62"/>
  <c r="AV53" i="63"/>
  <c r="N53" i="63" s="1"/>
  <c r="P45" i="63"/>
  <c r="AX54" i="63"/>
  <c r="P54" i="63" s="1"/>
  <c r="AX54" i="64"/>
  <c r="P54" i="64" s="1"/>
  <c r="P45" i="64"/>
  <c r="AV53" i="64"/>
  <c r="N53" i="64" s="1"/>
  <c r="AJ25" i="65"/>
  <c r="AI27" i="65"/>
  <c r="AJ27" i="65" s="1"/>
  <c r="X32" i="57"/>
  <c r="U32" i="57"/>
  <c r="O47" i="65"/>
  <c r="O47" i="57"/>
  <c r="Y27" i="65"/>
  <c r="N39" i="65"/>
  <c r="O39" i="65" s="1"/>
  <c r="X34" i="65"/>
  <c r="U34" i="65"/>
  <c r="P41" i="60"/>
  <c r="U32" i="65"/>
  <c r="X32" i="65"/>
  <c r="U32" i="56"/>
  <c r="X32" i="56"/>
  <c r="Y32" i="56" s="1"/>
  <c r="AK28" i="28"/>
  <c r="AV53" i="28"/>
  <c r="AX54" i="28"/>
  <c r="AX45" i="28"/>
  <c r="O54" i="28"/>
  <c r="S27" i="65"/>
  <c r="N36" i="65"/>
  <c r="O36" i="65" s="1"/>
  <c r="U34" i="56"/>
  <c r="X34" i="56"/>
  <c r="Y34" i="56" s="1"/>
  <c r="M34" i="65"/>
  <c r="AI27" i="57"/>
  <c r="AJ27" i="57" s="1"/>
  <c r="AJ17" i="57"/>
  <c r="N40" i="65"/>
  <c r="O40" i="65" s="1"/>
  <c r="AA27" i="65"/>
  <c r="U34" i="57"/>
  <c r="X34" i="57"/>
  <c r="N44" i="57"/>
  <c r="P41" i="28"/>
  <c r="O45" i="60" l="1"/>
  <c r="P45" i="60" s="1"/>
  <c r="O54" i="60"/>
  <c r="Z37" i="60"/>
  <c r="O51" i="60"/>
  <c r="P51" i="60" s="1"/>
  <c r="P50" i="60"/>
  <c r="M47" i="60"/>
  <c r="N47" i="60" s="1"/>
  <c r="P50" i="63"/>
  <c r="AV47" i="63"/>
  <c r="N47" i="63" s="1"/>
  <c r="P50" i="64"/>
  <c r="AV47" i="64"/>
  <c r="N47" i="64" s="1"/>
  <c r="AV47" i="28"/>
  <c r="N47" i="28" s="1"/>
  <c r="P50" i="28"/>
  <c r="P54" i="28"/>
  <c r="P54" i="60"/>
  <c r="Y32" i="65"/>
  <c r="N49" i="65"/>
  <c r="N44" i="65"/>
  <c r="N50" i="65"/>
  <c r="O50" i="65" s="1"/>
  <c r="Y34" i="65"/>
  <c r="Y32" i="57"/>
  <c r="N49" i="57"/>
  <c r="L52" i="57"/>
  <c r="O44" i="57"/>
  <c r="N50" i="57"/>
  <c r="O50" i="57" s="1"/>
  <c r="Y34" i="57"/>
  <c r="P45" i="28"/>
  <c r="M53" i="28"/>
  <c r="N53" i="28" s="1"/>
  <c r="M53" i="60" l="1"/>
  <c r="N53" i="60" s="1"/>
  <c r="N53" i="57"/>
  <c r="O53" i="57" s="1"/>
  <c r="M52" i="57"/>
  <c r="O49" i="57"/>
  <c r="L46" i="57"/>
  <c r="M46" i="57" s="1"/>
  <c r="O44" i="65"/>
  <c r="L52" i="65"/>
  <c r="O49" i="65"/>
  <c r="L46" i="65"/>
  <c r="M46" i="65" s="1"/>
  <c r="M52" i="65" l="1"/>
  <c r="N53" i="65"/>
  <c r="O53" i="65" s="1"/>
</calcChain>
</file>

<file path=xl/comments1.xml><?xml version="1.0" encoding="utf-8"?>
<comments xmlns="http://schemas.openxmlformats.org/spreadsheetml/2006/main">
  <authors>
    <author>Mark Sears</author>
    <author>Bernie</author>
  </authors>
  <commentList>
    <comment ref="I18" authorId="0">
      <text>
        <r>
          <rPr>
            <b/>
            <sz val="8"/>
            <color indexed="81"/>
            <rFont val="Tahoma"/>
          </rPr>
          <t xml:space="preserve">Enter as a formula of regular hours worked x regular rate per hour
</t>
        </r>
      </text>
    </comment>
    <comment ref="O18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Q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S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W18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Y18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AA18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J18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Y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Z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K19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L19" authorId="0">
      <text>
        <r>
          <rPr>
            <b/>
            <sz val="8"/>
            <color indexed="81"/>
            <rFont val="Tahoma"/>
            <family val="2"/>
          </rPr>
          <t xml:space="preserve">
Note: For hourly employees, </t>
        </r>
        <r>
          <rPr>
            <sz val="8"/>
            <color indexed="81"/>
            <rFont val="Tahoma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enter a formula converting the hourly rate in column H x 1.5. To be graded correctly, you must use the ROUND command to two digits in the formula.
=ROUND(hourly rate*1.5,2)
</t>
        </r>
      </text>
    </comment>
    <comment ref="M19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I23" authorId="0">
      <text>
        <r>
          <rPr>
            <b/>
            <sz val="8"/>
            <color indexed="81"/>
            <rFont val="Tahoma"/>
          </rPr>
          <t>Insert stated weekly salary</t>
        </r>
        <r>
          <rPr>
            <sz val="8"/>
            <color indexed="81"/>
            <rFont val="Tahoma"/>
          </rPr>
          <t xml:space="preserve">
</t>
        </r>
      </text>
    </comment>
    <comment ref="L23" authorId="0">
      <text>
        <r>
          <rPr>
            <b/>
            <sz val="8"/>
            <color indexed="81"/>
            <rFont val="Tahoma"/>
          </rPr>
          <t xml:space="preserve">
Note: For salaried workers, enter a formula converting the weekly amount in column I to an hourly amount and multiplying by 1.5. To be graded correctly, you must use the ROUND command to two digits in the formula.
=(ROUND(weekly amount/40,2))*1.5</t>
        </r>
        <r>
          <rPr>
            <sz val="8"/>
            <color indexed="81"/>
            <rFont val="Tahoma"/>
          </rPr>
          <t xml:space="preserve">
</t>
        </r>
      </text>
    </comment>
    <comment ref="I25" authorId="1">
      <text>
        <r>
          <rPr>
            <b/>
            <sz val="9"/>
            <color indexed="81"/>
            <rFont val="Tahoma"/>
            <family val="2"/>
          </rPr>
          <t xml:space="preserve">
Note: For salaries stated as monthly or yearly, enter a formula converting to a weekly amount. To be graded correctly, you must use the ROUND command to two digits in the formula.
=ROUND(monthly salary*12/52,2) or
=ROUND(annual salary/52,2)</t>
        </r>
      </text>
    </comment>
    <comment ref="I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M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O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Q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S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U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W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Y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A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C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E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G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J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L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N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P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R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V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L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Mark Sears</author>
    <author>Bernie</author>
    <author>Ros Hill</author>
  </authors>
  <commentList>
    <comment ref="N17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P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R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V17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X17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Z17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I17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X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Y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J18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 xml:space="preserve">
NOTE: For hourly workers, insert as a formula of regular rate x 1.5. To be graded correctly, you must use the ROUND command to two digits in the formula.
=ROUND(hourly rate*1.5,2)</t>
        </r>
      </text>
    </comment>
    <comment ref="L18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K22" authorId="0">
      <text>
        <r>
          <rPr>
            <b/>
            <sz val="8"/>
            <color indexed="81"/>
            <rFont val="Tahoma"/>
          </rPr>
          <t>Note: For salaried workers, enter a formula converting the weekly amount in column I to an hourly amount and multiplying by 1.5. To be graded correctly, you must use the ROUND command to two digits in the formula.</t>
        </r>
        <r>
          <rPr>
            <sz val="8"/>
            <color indexed="81"/>
            <rFont val="Tahoma"/>
          </rPr>
          <t xml:space="preserve">
</t>
        </r>
      </text>
    </comment>
    <comment ref="H24" authorId="1">
      <text>
        <r>
          <rPr>
            <b/>
            <sz val="9"/>
            <color indexed="81"/>
            <rFont val="Tahoma"/>
            <family val="2"/>
          </rPr>
          <t xml:space="preserve">
Note: For salaried employees with monthly or yearly salaries convert to weekly salaries. To be graded correctly, you must use the ROUND command to two digits in the formula.
=ROUND(monthly salary*12/52,2) or
=ROUND(annual salary/52,2)</t>
        </r>
      </text>
    </comment>
    <comment ref="T26" authorId="2">
      <text>
        <r>
          <rPr>
            <sz val="9"/>
            <color indexed="81"/>
            <rFont val="Tahoma"/>
            <charset val="1"/>
          </rPr>
          <t xml:space="preserve">
$1,500.00-$80.00=$1,420.00
$1,420.00-7($76.90)=$881.70
$881.70-$520.00=$361.70
($361.70X.15)+$35.50=$89.76
</t>
        </r>
      </text>
    </comment>
    <comment ref="H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L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N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P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R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T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V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X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Z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B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D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F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I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K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M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O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Q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T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W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Mark Sears</author>
    <author>Bernie</author>
  </authors>
  <commentList>
    <comment ref="N17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P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R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V17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X17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Z17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I17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X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Y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J18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 xml:space="preserve">
NOTE: For hourly workers, insert as a formula of regular rate x 1.5. To be graded correctly, you must use the ROUND command to two digits in the formula.
=ROUND(hourly rate*1.5,2)</t>
        </r>
      </text>
    </comment>
    <comment ref="L18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H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Insert stated weekly salary</t>
        </r>
      </text>
    </comment>
    <comment ref="K22" authorId="0">
      <text>
        <r>
          <rPr>
            <b/>
            <sz val="8"/>
            <color indexed="81"/>
            <rFont val="Tahoma"/>
          </rPr>
          <t xml:space="preserve">
Note: For salaried workers, enter a formula converting the weekly amount in column I to an hourly amount and multiplying by 1.5. To be graded correctly, you must use the ROUND command to two digits in the formula.</t>
        </r>
        <r>
          <rPr>
            <sz val="8"/>
            <color indexed="81"/>
            <rFont val="Tahoma"/>
          </rPr>
          <t xml:space="preserve">
</t>
        </r>
      </text>
    </comment>
    <comment ref="H24" authorId="1">
      <text>
        <r>
          <rPr>
            <b/>
            <sz val="9"/>
            <color indexed="81"/>
            <rFont val="Tahoma"/>
            <family val="2"/>
          </rPr>
          <t xml:space="preserve">
Note: For salaried employees with monthly or yearly salaries convert to weekly salaries. To be graded correctly, you must use the ROUND command to two digits in the formula.
=ROUND(monthly salary*12/52,2) or
=ROUND(annual salary/52,2)</t>
        </r>
      </text>
    </comment>
    <comment ref="H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L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N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P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R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T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V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X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Z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B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D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F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I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K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M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O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Q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T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W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Mark Sears</author>
    <author>Bernie</author>
  </authors>
  <commentList>
    <comment ref="N17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P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R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V17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X17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Z17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I17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X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Y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J18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 xml:space="preserve">
NOTE: For hourly workers, insert as a formula of regular rate x 1.5. To be graded correctly, you must use the ROUND command to two digits in the formula.
=ROUND(hourly rate*1.5,2)</t>
        </r>
      </text>
    </comment>
    <comment ref="L18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H22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Insert stated weekly salary</t>
        </r>
      </text>
    </comment>
    <comment ref="K22" authorId="0">
      <text>
        <r>
          <rPr>
            <b/>
            <sz val="8"/>
            <color indexed="81"/>
            <rFont val="Tahoma"/>
          </rPr>
          <t xml:space="preserve">
Note: For salaried workers, enter a formula converting the weekly amount in column I to an hourly amount and multiplying by 1.5. To be graded correctly, you must use the ROUND command to two digits in the formula.</t>
        </r>
        <r>
          <rPr>
            <sz val="8"/>
            <color indexed="81"/>
            <rFont val="Tahoma"/>
          </rPr>
          <t xml:space="preserve">
</t>
        </r>
      </text>
    </comment>
    <comment ref="H24" authorId="1">
      <text>
        <r>
          <rPr>
            <b/>
            <sz val="9"/>
            <color indexed="81"/>
            <rFont val="Tahoma"/>
            <family val="2"/>
          </rPr>
          <t xml:space="preserve">
Note: For salaried employees with monthly or yearly salaries convert to weekly salaries. To be graded correctly, you must use the ROUND command to two digits in the formula.
=ROUND(monthly salary*12/52,2) or
=ROUND(annual salary/52,2)</t>
        </r>
      </text>
    </comment>
    <comment ref="H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L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N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P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R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T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V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X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Z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B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D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F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I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K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M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O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Q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T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W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I18" authorId="0">
      <text>
        <r>
          <rPr>
            <b/>
            <sz val="8"/>
            <color indexed="81"/>
            <rFont val="Tahoma"/>
          </rPr>
          <t xml:space="preserve">Enter as a formula of regular hours worked x regular rate per hour
</t>
        </r>
      </text>
    </comment>
    <comment ref="O18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Q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S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W18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Y18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AA18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J18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Y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Z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K19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L19" authorId="0">
      <text>
        <r>
          <rPr>
            <b/>
            <sz val="8"/>
            <color indexed="81"/>
            <rFont val="Tahoma"/>
            <family val="2"/>
          </rPr>
          <t xml:space="preserve">
Note: For hourly employees, 
enter a formula converting the hourly rate in column H x 1.5. To be graded correctly, you must use the ROUND command to two digits in the formula. 
=ROUND(hourly rate*1.5,2)</t>
        </r>
      </text>
    </comment>
    <comment ref="M19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I23" authorId="0">
      <text>
        <r>
          <rPr>
            <b/>
            <sz val="8"/>
            <color indexed="81"/>
            <rFont val="Tahoma"/>
          </rPr>
          <t>Insert stated weekly salary</t>
        </r>
        <r>
          <rPr>
            <sz val="8"/>
            <color indexed="81"/>
            <rFont val="Tahoma"/>
          </rPr>
          <t xml:space="preserve">
</t>
        </r>
      </text>
    </comment>
    <comment ref="L23" authorId="0">
      <text>
        <r>
          <rPr>
            <b/>
            <sz val="8"/>
            <color indexed="81"/>
            <rFont val="Tahoma"/>
          </rPr>
          <t xml:space="preserve">
Note: For salaried workers, enter a formula converting the weekly amount in column I to an hourly amount and multiplying by 1.5. To be graded correctly, you must use the ROUND command to two digits in the formula.</t>
        </r>
        <r>
          <rPr>
            <sz val="8"/>
            <color indexed="81"/>
            <rFont val="Tahoma"/>
          </rPr>
          <t xml:space="preserve">
</t>
        </r>
      </text>
    </comment>
    <comment ref="I24" authorId="0">
      <text>
        <r>
          <rPr>
            <b/>
            <sz val="8"/>
            <color indexed="81"/>
            <rFont val="Tahoma"/>
          </rPr>
          <t>Note: For salaries stated as monthly or yearly, enter a formula converting to a weekly amount.  To be graded correctly, you must use the ROUND command to two digits in the formula.
=ROUND(monthly salary*12/52,2) or
=ROUND(annual salary/52,2)</t>
        </r>
        <r>
          <rPr>
            <sz val="8"/>
            <color indexed="81"/>
            <rFont val="Tahoma"/>
          </rPr>
          <t xml:space="preserve">
</t>
        </r>
      </text>
    </comment>
    <comment ref="I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M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O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Q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S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U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W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Y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A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C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E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G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J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L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N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P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R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V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L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Mark Sears</author>
  </authors>
  <commentList>
    <comment ref="I18" authorId="0">
      <text>
        <r>
          <rPr>
            <b/>
            <sz val="8"/>
            <color indexed="81"/>
            <rFont val="Tahoma"/>
          </rPr>
          <t xml:space="preserve">Enter as a formula of regular hours worked x regular rate per hour
</t>
        </r>
      </text>
    </comment>
    <comment ref="O18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Q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S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W18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Y18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AA18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J18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Y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Z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K19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L19" authorId="0">
      <text>
        <r>
          <rPr>
            <sz val="8"/>
            <color indexed="81"/>
            <rFont val="Tahoma"/>
          </rPr>
          <t xml:space="preserve">
</t>
        </r>
        <r>
          <rPr>
            <b/>
            <sz val="8"/>
            <color indexed="81"/>
            <rFont val="Tahoma"/>
            <family val="2"/>
          </rPr>
          <t>Note: For hourly employees, 
enter a formula converting the hourly rate in column H x 1.5. To be graded correctly, you must use the ROUND command to two digits in the formula.  =ROUND(hourly rate*1.5,2)</t>
        </r>
      </text>
    </comment>
    <comment ref="M19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I23" authorId="0">
      <text>
        <r>
          <rPr>
            <b/>
            <sz val="8"/>
            <color indexed="81"/>
            <rFont val="Tahoma"/>
          </rPr>
          <t>Insert stated weekly salary</t>
        </r>
        <r>
          <rPr>
            <sz val="8"/>
            <color indexed="81"/>
            <rFont val="Tahoma"/>
          </rPr>
          <t xml:space="preserve">
</t>
        </r>
      </text>
    </comment>
    <comment ref="L23" authorId="0">
      <text>
        <r>
          <rPr>
            <b/>
            <sz val="8"/>
            <color indexed="81"/>
            <rFont val="Tahoma"/>
          </rPr>
          <t xml:space="preserve">
Note: For salaried workers, enter a formula converting the weekly amount in column I to an hourly amount and multiplying by 1.5. To be graded correctly, you must use the ROUND command to two digits in the formula.</t>
        </r>
        <r>
          <rPr>
            <sz val="8"/>
            <color indexed="81"/>
            <rFont val="Tahoma"/>
          </rPr>
          <t xml:space="preserve">
</t>
        </r>
      </text>
    </comment>
    <comment ref="I24" authorId="0">
      <text>
        <r>
          <rPr>
            <b/>
            <sz val="8"/>
            <color indexed="81"/>
            <rFont val="Tahoma"/>
          </rPr>
          <t>For salaries stated as monthly or yearly, enter a formula converting to a weekly amount</t>
        </r>
        <r>
          <rPr>
            <sz val="8"/>
            <color indexed="81"/>
            <rFont val="Tahoma"/>
          </rPr>
          <t xml:space="preserve">
</t>
        </r>
      </text>
    </comment>
    <comment ref="I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M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O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Q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S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U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W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Y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A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C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E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G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J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L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N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P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R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V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L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Mark Sears</author>
  </authors>
  <commentList>
    <comment ref="I18" authorId="0">
      <text>
        <r>
          <rPr>
            <b/>
            <sz val="8"/>
            <color indexed="81"/>
            <rFont val="Tahoma"/>
          </rPr>
          <t xml:space="preserve">Enter as a formula of regular hours worked x regular rate per hour
</t>
        </r>
      </text>
    </comment>
    <comment ref="O18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Q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S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W18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Y18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AA18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J18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Y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Z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K19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L19" authorId="0">
      <text>
        <r>
          <rPr>
            <b/>
            <sz val="8"/>
            <color indexed="81"/>
            <rFont val="Tahoma"/>
            <family val="2"/>
          </rPr>
          <t xml:space="preserve">
Note: For hourly employees, 
enter a formula converting the hourly rate in column H x 1.5. To be graded correctly, you must use the ROUND command to two digits in the formula.  
=ROUND(hourly rate*1.5,2)</t>
        </r>
      </text>
    </comment>
    <comment ref="M19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I23" authorId="0">
      <text>
        <r>
          <rPr>
            <b/>
            <sz val="8"/>
            <color indexed="81"/>
            <rFont val="Tahoma"/>
          </rPr>
          <t>Insert stated weekly salary</t>
        </r>
        <r>
          <rPr>
            <sz val="8"/>
            <color indexed="81"/>
            <rFont val="Tahoma"/>
          </rPr>
          <t xml:space="preserve">
</t>
        </r>
      </text>
    </comment>
    <comment ref="L23" authorId="0">
      <text>
        <r>
          <rPr>
            <b/>
            <sz val="8"/>
            <color indexed="81"/>
            <rFont val="Tahoma"/>
          </rPr>
          <t xml:space="preserve">
Note: For salaried workers, enter a formula converting the weekly amount in column I to an hourly amount and multiplying by 1.5. To be graded correctly, you must use the ROUND command to two digits in the formula.</t>
        </r>
        <r>
          <rPr>
            <sz val="8"/>
            <color indexed="81"/>
            <rFont val="Tahoma"/>
          </rPr>
          <t xml:space="preserve">
</t>
        </r>
      </text>
    </comment>
    <comment ref="I24" authorId="0">
      <text>
        <r>
          <rPr>
            <b/>
            <sz val="8"/>
            <color indexed="81"/>
            <rFont val="Tahoma"/>
          </rPr>
          <t>For salaries stated as monthly or yearly, enter a formula converting to a weekly amount</t>
        </r>
        <r>
          <rPr>
            <sz val="8"/>
            <color indexed="81"/>
            <rFont val="Tahoma"/>
          </rPr>
          <t xml:space="preserve">
</t>
        </r>
      </text>
    </comment>
    <comment ref="I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M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O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Q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S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U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W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Y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A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C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E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G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J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L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N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P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R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V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L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Mark Sears</author>
  </authors>
  <commentList>
    <comment ref="I18" authorId="0">
      <text>
        <r>
          <rPr>
            <b/>
            <sz val="8"/>
            <color indexed="81"/>
            <rFont val="Tahoma"/>
          </rPr>
          <t xml:space="preserve">Enter as a formula of regular hours worked x regular rate per hour
</t>
        </r>
      </text>
    </comment>
    <comment ref="O18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Q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S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W18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Y18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AA18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J18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Y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Z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K19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L19" authorId="0">
      <text>
        <r>
          <rPr>
            <b/>
            <sz val="8"/>
            <color indexed="81"/>
            <rFont val="Tahoma"/>
            <family val="2"/>
          </rPr>
          <t xml:space="preserve">
Note: For hourly employees, 
enter a formula converting the hourly rate in column H x 1.5. To be graded correctly, you must use the ROUND command to two digits in the formula.
=ROUND(hourly rate*1.5,2)
</t>
        </r>
      </text>
    </comment>
    <comment ref="M19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I23" authorId="0">
      <text>
        <r>
          <rPr>
            <b/>
            <sz val="8"/>
            <color indexed="81"/>
            <rFont val="Tahoma"/>
          </rPr>
          <t>Insert stated weekly salary</t>
        </r>
        <r>
          <rPr>
            <sz val="8"/>
            <color indexed="81"/>
            <rFont val="Tahoma"/>
          </rPr>
          <t xml:space="preserve">
</t>
        </r>
      </text>
    </comment>
    <comment ref="L23" authorId="0">
      <text>
        <r>
          <rPr>
            <b/>
            <sz val="8"/>
            <color indexed="81"/>
            <rFont val="Tahoma"/>
          </rPr>
          <t xml:space="preserve">
Note: For salaried workers, enter a formula converting the weekly amount in column I to an hourly amount and multiplying by 1.5. To be graded correctly, you must use the ROUND command to two digits in the formula.</t>
        </r>
        <r>
          <rPr>
            <sz val="8"/>
            <color indexed="81"/>
            <rFont val="Tahoma"/>
          </rPr>
          <t xml:space="preserve">
</t>
        </r>
      </text>
    </comment>
    <comment ref="I24" authorId="0">
      <text>
        <r>
          <rPr>
            <b/>
            <sz val="8"/>
            <color indexed="81"/>
            <rFont val="Tahoma"/>
          </rPr>
          <t>For salaries stated as monthly or yearly, enter a formula converting to a weekly amount</t>
        </r>
        <r>
          <rPr>
            <sz val="8"/>
            <color indexed="81"/>
            <rFont val="Tahoma"/>
          </rPr>
          <t xml:space="preserve">
</t>
        </r>
      </text>
    </comment>
    <comment ref="I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M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O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Q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S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U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W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Y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A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C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E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G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J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L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N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P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R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V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L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Mark Sears</author>
  </authors>
  <commentList>
    <comment ref="I18" authorId="0">
      <text>
        <r>
          <rPr>
            <b/>
            <sz val="8"/>
            <color indexed="81"/>
            <rFont val="Tahoma"/>
          </rPr>
          <t xml:space="preserve">Enter as a formula of regular hours worked x regular rate per hour
</t>
        </r>
      </text>
    </comment>
    <comment ref="O18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Q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S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W18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Y18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AA18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J18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Y18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Z18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K19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L19" authorId="0">
      <text>
        <r>
          <rPr>
            <b/>
            <sz val="8"/>
            <color indexed="81"/>
            <rFont val="Tahoma"/>
            <family val="2"/>
          </rPr>
          <t xml:space="preserve">
Note: For hourly employees, 
enter a formula converting the hourly rate in column H x 1.5. To be graded correctly, you must use the ROUND command to two digits in the formula.
=ROUND(hourly rate*1.5,2)</t>
        </r>
      </text>
    </comment>
    <comment ref="M19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I23" authorId="0">
      <text>
        <r>
          <rPr>
            <b/>
            <sz val="8"/>
            <color indexed="81"/>
            <rFont val="Tahoma"/>
          </rPr>
          <t>Insert stated weekly salary</t>
        </r>
        <r>
          <rPr>
            <sz val="8"/>
            <color indexed="81"/>
            <rFont val="Tahoma"/>
          </rPr>
          <t xml:space="preserve">
</t>
        </r>
      </text>
    </comment>
    <comment ref="L23" authorId="0">
      <text>
        <r>
          <rPr>
            <b/>
            <sz val="8"/>
            <color indexed="81"/>
            <rFont val="Tahoma"/>
          </rPr>
          <t xml:space="preserve">
Note: For salaried workers, enter a formula converting the weekly amount in column I to an hourly amount and multiplying by 1.5. To be graded correctly, you must use the ROUND command to two digits in the formula.</t>
        </r>
        <r>
          <rPr>
            <sz val="8"/>
            <color indexed="81"/>
            <rFont val="Tahoma"/>
          </rPr>
          <t xml:space="preserve">
</t>
        </r>
      </text>
    </comment>
    <comment ref="I24" authorId="0">
      <text>
        <r>
          <rPr>
            <b/>
            <sz val="8"/>
            <color indexed="81"/>
            <rFont val="Tahoma"/>
          </rPr>
          <t xml:space="preserve">Note: For salaries stated as monthly or yearly, enter a formula converting to a weekly amount.  </t>
        </r>
        <r>
          <rPr>
            <sz val="8"/>
            <color indexed="81"/>
            <rFont val="Tahoma"/>
          </rPr>
          <t xml:space="preserve">
</t>
        </r>
      </text>
    </comment>
    <comment ref="I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M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O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Q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S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U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W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Y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A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C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E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G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J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L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N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P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R28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V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L28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Mark Sears</author>
    <author>Bernie</author>
    <author>Ros Hill</author>
  </authors>
  <commentList>
    <comment ref="H17" authorId="0">
      <text>
        <r>
          <rPr>
            <b/>
            <sz val="8"/>
            <color indexed="81"/>
            <rFont val="Tahoma"/>
          </rPr>
          <t xml:space="preserve">Enter as a formula of regular hours worked x regular rate per hour
</t>
        </r>
      </text>
    </comment>
    <comment ref="N17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P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R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V17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X17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Z17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I17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J18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 xml:space="preserve">
NOTE: For hourly workers, insert as a formula of regular rate x 1.5. To be graded correctly, you must use the ROUND command to two digits in the formula.
=ROUND(hourly rate*1.5,2)
</t>
        </r>
        <r>
          <rPr>
            <sz val="8"/>
            <color indexed="81"/>
            <rFont val="Tahoma"/>
          </rPr>
          <t xml:space="preserve">
</t>
        </r>
      </text>
    </comment>
    <comment ref="L18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H22" authorId="0">
      <text>
        <r>
          <rPr>
            <b/>
            <sz val="8"/>
            <color indexed="81"/>
            <rFont val="Tahoma"/>
          </rPr>
          <t>Insert stated weekly salary</t>
        </r>
        <r>
          <rPr>
            <sz val="8"/>
            <color indexed="81"/>
            <rFont val="Tahoma"/>
          </rPr>
          <t xml:space="preserve">
</t>
        </r>
      </text>
    </comment>
    <comment ref="K22" authorId="0">
      <text>
        <r>
          <rPr>
            <b/>
            <sz val="8"/>
            <color indexed="81"/>
            <rFont val="Tahoma"/>
          </rPr>
          <t>Note: For salaried workers, enter a formula converting the weekly amount in column H to an hourly amount and multiplying by 1.5. To be graded correctly, you must use the ROUND command to two digits in the formula.</t>
        </r>
        <r>
          <rPr>
            <sz val="8"/>
            <color indexed="81"/>
            <rFont val="Tahoma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=ROUND(Weekly salary/40,2)*1.5
</t>
        </r>
      </text>
    </comment>
    <comment ref="H24" authorId="1">
      <text>
        <r>
          <rPr>
            <b/>
            <sz val="9"/>
            <color indexed="81"/>
            <rFont val="Tahoma"/>
            <family val="2"/>
          </rPr>
          <t xml:space="preserve">
Note: For salaried employees with monthly or yearly salaries convert to weekly salaries. To be graded correctly, you must use the ROUND command to two digits in the formula.
=ROUND(monthly salary*12/52,2) or
=ROUND(annual salary/52,2)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26" authorId="2">
      <text>
        <r>
          <rPr>
            <sz val="9"/>
            <color indexed="81"/>
            <rFont val="Tahoma"/>
            <charset val="1"/>
          </rPr>
          <t xml:space="preserve">
$1,500.00-$80.00=$1420.00
$1420.00-(7x$76.90)=$881.70
$881.70-$520.00=$361.70
($361.70x.15)+$35.50=$89.76
</t>
        </r>
      </text>
    </comment>
    <comment ref="H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L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N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P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R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T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V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X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Z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B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D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F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I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K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M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O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Q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Mark Sears</author>
    <author>Bernie</author>
  </authors>
  <commentList>
    <comment ref="H17" authorId="0">
      <text>
        <r>
          <rPr>
            <b/>
            <sz val="8"/>
            <color indexed="81"/>
            <rFont val="Tahoma"/>
          </rPr>
          <t xml:space="preserve">Enter as a formula of regular hours worked x regular rate per hour
</t>
        </r>
      </text>
    </comment>
    <comment ref="N17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P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R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V17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X17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Z17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I17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J18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 xml:space="preserve">
NOTE: For hourly workers, insert as a formula of regular rate x 1.5. To be graded correctly, you must use the ROUND command to two digits in the formula.
=ROUND(hourly rate*1.5,2)</t>
        </r>
      </text>
    </comment>
    <comment ref="L18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H22" authorId="0">
      <text>
        <r>
          <rPr>
            <b/>
            <sz val="8"/>
            <color indexed="81"/>
            <rFont val="Tahoma"/>
          </rPr>
          <t>Insert stated weekly salary</t>
        </r>
        <r>
          <rPr>
            <sz val="8"/>
            <color indexed="81"/>
            <rFont val="Tahoma"/>
          </rPr>
          <t xml:space="preserve">
</t>
        </r>
      </text>
    </comment>
    <comment ref="K22" authorId="0">
      <text>
        <r>
          <rPr>
            <b/>
            <sz val="8"/>
            <color indexed="81"/>
            <rFont val="Tahoma"/>
            <family val="2"/>
          </rPr>
          <t xml:space="preserve">
Note: For salaried workers, enter a formula converting the weekly amount in column H to an hourly amount and multiplying by 1.5. To be graded correctly, you must use the ROUND command to two digits in the formula.
=ROUND(Weekly salary/40,2)*1.5</t>
        </r>
      </text>
    </comment>
    <comment ref="H24" authorId="1">
      <text>
        <r>
          <rPr>
            <b/>
            <sz val="9"/>
            <color indexed="81"/>
            <rFont val="Tahoma"/>
            <family val="2"/>
          </rPr>
          <t xml:space="preserve">
Note: For salaried employees with monthly or yearly salaries convert to weekly salaries. To be graded correctly, you must use the ROUND command to two digits in the formula.
=ROUND(monthly salary*12/52,2) or
=ROUND(annual salary/52,2)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L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N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P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R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T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V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X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Z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B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D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F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I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K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M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O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Q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Mark Sears</author>
    <author>Bernie</author>
  </authors>
  <commentList>
    <comment ref="H17" authorId="0">
      <text>
        <r>
          <rPr>
            <b/>
            <sz val="8"/>
            <color indexed="81"/>
            <rFont val="Tahoma"/>
          </rPr>
          <t xml:space="preserve">Enter as a formula of regular hours worked x regular rate per hour
</t>
        </r>
      </text>
    </comment>
    <comment ref="N17" authorId="0">
      <text>
        <r>
          <rPr>
            <b/>
            <sz val="8"/>
            <color indexed="81"/>
            <rFont val="Tahoma"/>
          </rPr>
          <t>Enter as a formula totaling regular and overtime earnings</t>
        </r>
        <r>
          <rPr>
            <sz val="8"/>
            <color indexed="81"/>
            <rFont val="Tahoma"/>
          </rPr>
          <t xml:space="preserve">
</t>
        </r>
      </text>
    </comment>
    <comment ref="P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R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V17" authorId="0">
      <text>
        <r>
          <rPr>
            <b/>
            <sz val="8"/>
            <color indexed="81"/>
            <rFont val="Tahoma"/>
          </rPr>
          <t>Enter as a formula of taxable earnings x state tax rate</t>
        </r>
        <r>
          <rPr>
            <sz val="8"/>
            <color indexed="81"/>
            <rFont val="Tahoma"/>
          </rPr>
          <t xml:space="preserve">
</t>
        </r>
      </text>
    </comment>
    <comment ref="X17" authorId="0">
      <text>
        <r>
          <rPr>
            <b/>
            <sz val="8"/>
            <color indexed="81"/>
            <rFont val="Tahoma"/>
          </rPr>
          <t>Enter as a formula of taxable earnings x SUTA tax rate</t>
        </r>
        <r>
          <rPr>
            <sz val="8"/>
            <color indexed="81"/>
            <rFont val="Tahoma"/>
          </rPr>
          <t xml:space="preserve">
</t>
        </r>
      </text>
    </comment>
    <comment ref="Z17" authorId="0">
      <text>
        <r>
          <rPr>
            <b/>
            <sz val="8"/>
            <color indexed="81"/>
            <rFont val="Tahoma"/>
          </rPr>
          <t>Enter as a formula of taxable earnings x city tax rate</t>
        </r>
        <r>
          <rPr>
            <sz val="8"/>
            <color indexed="81"/>
            <rFont val="Tahoma"/>
          </rPr>
          <t xml:space="preserve">
</t>
        </r>
      </text>
    </comment>
    <comment ref="AI17" authorId="0">
      <text>
        <r>
          <rPr>
            <b/>
            <sz val="8"/>
            <color indexed="81"/>
            <rFont val="Tahoma"/>
          </rPr>
          <t>Enter as a formula of total earnings less the sum of deductions</t>
        </r>
        <r>
          <rPr>
            <sz val="8"/>
            <color indexed="81"/>
            <rFont val="Tahoma"/>
          </rPr>
          <t xml:space="preserve">
</t>
        </r>
      </text>
    </comment>
    <comment ref="AX17" authorId="0">
      <text>
        <r>
          <rPr>
            <b/>
            <sz val="8"/>
            <color indexed="81"/>
            <rFont val="Tahoma"/>
          </rPr>
          <t>Enter as a formula of taxable earnings x OASDI rate</t>
        </r>
        <r>
          <rPr>
            <sz val="8"/>
            <color indexed="81"/>
            <rFont val="Tahoma"/>
          </rPr>
          <t xml:space="preserve">
</t>
        </r>
      </text>
    </comment>
    <comment ref="AY17" authorId="0">
      <text>
        <r>
          <rPr>
            <b/>
            <sz val="8"/>
            <color indexed="81"/>
            <rFont val="Tahoma"/>
          </rPr>
          <t xml:space="preserve">Enter as a formula of taxable earnings x HI rate
</t>
        </r>
        <r>
          <rPr>
            <sz val="8"/>
            <color indexed="81"/>
            <rFont val="Tahoma"/>
          </rPr>
          <t xml:space="preserve">
</t>
        </r>
      </text>
    </comment>
    <comment ref="J18" authorId="0">
      <text>
        <r>
          <rPr>
            <b/>
            <sz val="8"/>
            <color indexed="81"/>
            <rFont val="Tahoma"/>
          </rPr>
          <t xml:space="preserve">Note: Only the Amount column in this section will be graded. 
</t>
        </r>
        <r>
          <rPr>
            <sz val="8"/>
            <color indexed="81"/>
            <rFont val="Tahoma"/>
          </rPr>
          <t xml:space="preserve">
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 xml:space="preserve">
NOTE: For hourly workers, insert as a formula of regular rate x 1.5. To be graded correctly, you must use the ROUND command to two digits in the formula.
=ROUND(hourly rate*1.5,2)</t>
        </r>
        <r>
          <rPr>
            <sz val="8"/>
            <color indexed="81"/>
            <rFont val="Tahoma"/>
          </rPr>
          <t xml:space="preserve">
</t>
        </r>
      </text>
    </comment>
    <comment ref="L18" authorId="0">
      <text>
        <r>
          <rPr>
            <b/>
            <sz val="8"/>
            <color indexed="81"/>
            <rFont val="Tahoma"/>
          </rPr>
          <t xml:space="preserve">Enter as a formula of overtime hours worked x overtime rate per hour
</t>
        </r>
      </text>
    </comment>
    <comment ref="H22" authorId="0">
      <text>
        <r>
          <rPr>
            <b/>
            <sz val="8"/>
            <color indexed="81"/>
            <rFont val="Tahoma"/>
          </rPr>
          <t>Insert stated weekly salary</t>
        </r>
        <r>
          <rPr>
            <sz val="8"/>
            <color indexed="81"/>
            <rFont val="Tahoma"/>
          </rPr>
          <t xml:space="preserve">
</t>
        </r>
      </text>
    </comment>
    <comment ref="K22" authorId="0">
      <text>
        <r>
          <rPr>
            <b/>
            <sz val="8"/>
            <color indexed="81"/>
            <rFont val="Tahoma"/>
          </rPr>
          <t xml:space="preserve">
Note: For salaried workers, enter a formula converting the weekly amount in column H to an hourly amount and multiplying by 1.5. To be graded correctly, you must use the ROUND command to two digits in the formula.
=ROUND(Weekly salary/40,2)*1.5</t>
        </r>
        <r>
          <rPr>
            <sz val="8"/>
            <color indexed="81"/>
            <rFont val="Tahoma"/>
          </rPr>
          <t xml:space="preserve">
</t>
        </r>
      </text>
    </comment>
    <comment ref="H24" authorId="1">
      <text>
        <r>
          <rPr>
            <b/>
            <sz val="9"/>
            <color indexed="81"/>
            <rFont val="Tahoma"/>
            <family val="2"/>
          </rPr>
          <t xml:space="preserve">
Note: For salaried employees with monthly or yearly salaries convert to weekly salaries. To be graded correctly, you must use the ROUND command to two digits in the formula.
=ROUND(monthly salary*12/52,2) or
=ROUND(annual salary/52,2)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L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N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P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R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T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V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X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Z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B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D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F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I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K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M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O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Q27" authorId="0">
      <text>
        <r>
          <rPr>
            <b/>
            <sz val="8"/>
            <color indexed="81"/>
            <rFont val="Tahoma"/>
          </rPr>
          <t>Enter as a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T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U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W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X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Y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AZ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A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B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C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D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E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F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G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H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I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J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  <comment ref="BK27" authorId="0">
      <text>
        <r>
          <rPr>
            <b/>
            <sz val="8"/>
            <color indexed="81"/>
            <rFont val="Tahoma"/>
          </rPr>
          <t>Enter as formula totaling column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<sst xmlns="http://schemas.openxmlformats.org/spreadsheetml/2006/main" count="1669" uniqueCount="163">
  <si>
    <t>OASDI</t>
  </si>
  <si>
    <t>HI</t>
  </si>
  <si>
    <t>FICA</t>
  </si>
  <si>
    <t>FIT</t>
  </si>
  <si>
    <t>SIT</t>
  </si>
  <si>
    <t>CIT</t>
  </si>
  <si>
    <t>DEDUCTIONS</t>
  </si>
  <si>
    <t>PAYROLL REGISTER</t>
  </si>
  <si>
    <t>M</t>
  </si>
  <si>
    <t>S</t>
  </si>
  <si>
    <t>MARITAL STATUS</t>
  </si>
  <si>
    <t>NO. OF W/H ALLOW.</t>
  </si>
  <si>
    <t>TOTAL</t>
  </si>
  <si>
    <t>EARNINGS</t>
  </si>
  <si>
    <t xml:space="preserve">   Totals</t>
  </si>
  <si>
    <t>FUTA</t>
  </si>
  <si>
    <t>SUTA</t>
  </si>
  <si>
    <t>Name:</t>
  </si>
  <si>
    <t xml:space="preserve">    FOR PERIOD ENDING</t>
  </si>
  <si>
    <t>Enter the appropriate numbers/formulas in the shaded (gray) cells. An asterisk (*) will appear to the right of an incorrect answer.</t>
  </si>
  <si>
    <t>20--</t>
  </si>
  <si>
    <t>DESCRIPTION</t>
  </si>
  <si>
    <t>DATE</t>
  </si>
  <si>
    <t>DEBIT</t>
  </si>
  <si>
    <t>CREDIT</t>
  </si>
  <si>
    <t>JOURNAL</t>
  </si>
  <si>
    <t>EMPLOYEE</t>
  </si>
  <si>
    <t xml:space="preserve">11 Carson, Fran M. </t>
  </si>
  <si>
    <t>12 Wilson, William A.</t>
  </si>
  <si>
    <t xml:space="preserve">13 Utley, Harry T. </t>
  </si>
  <si>
    <t xml:space="preserve">21 Fife, Lawrence R. </t>
  </si>
  <si>
    <t>22 Smith, Lucy K.</t>
  </si>
  <si>
    <t xml:space="preserve">31 Fay, Gretchen R. </t>
  </si>
  <si>
    <t xml:space="preserve">32 Robey, Glenda B. </t>
  </si>
  <si>
    <t>33 Schork, Thomas K.</t>
  </si>
  <si>
    <t>51 Hardy, Barbara T.</t>
  </si>
  <si>
    <t>99 Kipley, Carson C.</t>
  </si>
  <si>
    <t>REGULAR EARNINGS</t>
  </si>
  <si>
    <t>HOURS WORKED</t>
  </si>
  <si>
    <t>RATE PER HOUR</t>
  </si>
  <si>
    <t>AMOUNT</t>
  </si>
  <si>
    <t>KIPLEY COMPANY, INC.</t>
  </si>
  <si>
    <t xml:space="preserve">January 8, 20 - - </t>
  </si>
  <si>
    <t>OVERTIME EARNINGS</t>
  </si>
  <si>
    <t>SIMPLE</t>
  </si>
  <si>
    <t>INSURANCE</t>
  </si>
  <si>
    <t>HEALTH</t>
  </si>
  <si>
    <t xml:space="preserve">     GROUP</t>
  </si>
  <si>
    <t>NET PAY</t>
  </si>
  <si>
    <t>CHECK</t>
  </si>
  <si>
    <t>NO.</t>
  </si>
  <si>
    <t>TAXABLE EARNINGS</t>
  </si>
  <si>
    <t/>
  </si>
  <si>
    <t xml:space="preserve">     Wages and Salaries</t>
  </si>
  <si>
    <t>FICA Taxes Payable - OASDI</t>
  </si>
  <si>
    <t>FICA Taxes Payable - HI</t>
  </si>
  <si>
    <t>Employees FIT Payable</t>
  </si>
  <si>
    <t>Employees SIT Payable</t>
  </si>
  <si>
    <t>Employees SUTA Payable</t>
  </si>
  <si>
    <t>Employees CIT Payable</t>
  </si>
  <si>
    <t>SIMPLE Deductions Payable</t>
  </si>
  <si>
    <t>Group Insurance Premiums Collected</t>
  </si>
  <si>
    <t>Health Insurance Premiums Collected</t>
  </si>
  <si>
    <t>Salaries Payable</t>
  </si>
  <si>
    <r>
      <t>Jan.</t>
    </r>
    <r>
      <rPr>
        <sz val="10"/>
        <rFont val="Arial"/>
      </rPr>
      <t xml:space="preserve">  14</t>
    </r>
  </si>
  <si>
    <t xml:space="preserve">     Salaries Payable</t>
  </si>
  <si>
    <t>Cash</t>
  </si>
  <si>
    <t xml:space="preserve">     Payroll Taxes</t>
  </si>
  <si>
    <t>FUTA Taxes Payable</t>
  </si>
  <si>
    <t>SUTA Taxes Payable</t>
  </si>
  <si>
    <t>Jan.  12</t>
  </si>
  <si>
    <r>
      <t>Jan.</t>
    </r>
    <r>
      <rPr>
        <sz val="10"/>
        <rFont val="Arial"/>
      </rPr>
      <t xml:space="preserve">  12</t>
    </r>
  </si>
  <si>
    <t>Instructor</t>
  </si>
  <si>
    <t>For a breakdown of the solution by chapter, see the worksheet tabs labeled CPP 2 through 6 representing the solutions for chapters 2-6.</t>
  </si>
  <si>
    <t>Continuing Payroll Problem-A</t>
  </si>
  <si>
    <t>Continuing Payroll Problem-B</t>
  </si>
  <si>
    <t>OLNEY COMPANY, INC.</t>
  </si>
  <si>
    <t xml:space="preserve">11 Magino, R. </t>
  </si>
  <si>
    <t>12 Flores, I.</t>
  </si>
  <si>
    <t xml:space="preserve">13 Palmetto, C. </t>
  </si>
  <si>
    <t xml:space="preserve">21 Waters, R. </t>
  </si>
  <si>
    <t>22 Kroll, C.</t>
  </si>
  <si>
    <t xml:space="preserve">31 Ruppert, C. </t>
  </si>
  <si>
    <t>32 Scott, W.</t>
  </si>
  <si>
    <t>33 Wickman, S.</t>
  </si>
  <si>
    <t>51 Foley, L.</t>
  </si>
  <si>
    <t>99 Olney, M.</t>
  </si>
  <si>
    <t>Reg</t>
  </si>
  <si>
    <t>OT earning</t>
  </si>
  <si>
    <t>Totat</t>
  </si>
  <si>
    <t>Health In</t>
  </si>
  <si>
    <t>Group In</t>
  </si>
  <si>
    <t>Simple</t>
  </si>
  <si>
    <t>Net</t>
  </si>
  <si>
    <t xml:space="preserve">11 Mangino, R. </t>
  </si>
  <si>
    <t>TAXABLE</t>
  </si>
  <si>
    <t>Taxable</t>
  </si>
  <si>
    <t xml:space="preserve"> Earnings</t>
  </si>
  <si>
    <t>Rate</t>
  </si>
  <si>
    <t>Net FUTA</t>
  </si>
  <si>
    <t>FUTA Tax</t>
  </si>
  <si>
    <t>SUTA Tax</t>
  </si>
  <si>
    <t>Earnings</t>
  </si>
  <si>
    <t>1.  Enter the appropriate numbers/formulas in the shaded (gray) cells.  An asterisk (*) will appear to the right of an incorrect answer.</t>
  </si>
  <si>
    <t>2.  A formula begins with an equals sign (=) and can consist of any of the following elements:</t>
  </si>
  <si>
    <t xml:space="preserve">      Operators such as + (for addition), - (for subtraction), * (for multiplication), and / (for division).</t>
  </si>
  <si>
    <t xml:space="preserve">      Cell references, including cell addresses such as B52, as well as named cells and ranges</t>
  </si>
  <si>
    <t xml:space="preserve">      Values and text</t>
  </si>
  <si>
    <t xml:space="preserve">      Worksheet functions (such as SUM)</t>
  </si>
  <si>
    <t>3.  You can enter a formula into a cell manually (typing it in) or by pointing to the cells.</t>
  </si>
  <si>
    <t xml:space="preserve">     To enter a formula manually, follow these steps:</t>
  </si>
  <si>
    <t xml:space="preserve">           Move the cell pointer to the cell that you want to hold the formula.</t>
  </si>
  <si>
    <t xml:space="preserve">          Type an equals sign (=) to signal the fact that the cell contains a formula.</t>
  </si>
  <si>
    <t xml:space="preserve">          Type the formula, then press Enter.</t>
  </si>
  <si>
    <r>
      <t xml:space="preserve">4.  </t>
    </r>
    <r>
      <rPr>
        <b/>
        <sz val="11"/>
        <rFont val="Garamond"/>
        <family val="1"/>
      </rPr>
      <t>Rounding</t>
    </r>
    <r>
      <rPr>
        <sz val="11"/>
        <rFont val="Garamond"/>
        <family val="1"/>
      </rPr>
      <t xml:space="preserve">:  These templates have been formatted to round numbers to either the nearest whole number or the nearest cent.  For example, </t>
    </r>
  </si>
  <si>
    <t>17.65 x 1.5=26.475.  The template will display and hold 26.48, not 26.475. There is no need to use Excel's rounding function.</t>
  </si>
  <si>
    <t xml:space="preserve">         EXCEPTION: Continuing Payroll Problems A &amp; B: CHAPTER 2</t>
  </si>
  <si>
    <t xml:space="preserve">             When calculating over-time rate for weekly salary,  round regular rate to TWO decimals BEFORE calculating overtime rate.</t>
  </si>
  <si>
    <t xml:space="preserve">             Rounding can be accomplished by using Number function (using arrows) on Excel Home menu or by entering the formula</t>
  </si>
  <si>
    <t xml:space="preserve">              =(Round(Weekly/40,2))*1.5  (where "Weekly" entered as either the weekly pay or cell reference.)  </t>
  </si>
  <si>
    <t xml:space="preserve">             Failure to use the ROUND function will cause the OT rate to be incorrect.</t>
  </si>
  <si>
    <t xml:space="preserve">5. Remember to save your work.  When saving your workbook, Excel overwrites the previous copy of your file.   You can save your work at any time. </t>
  </si>
  <si>
    <t>You can save the file to the current name, or you may want to keep multiple versions of your work by saving each successive version under a different name.</t>
  </si>
  <si>
    <t xml:space="preserve">To save to the current name, you can select File, Save from the menu bar or click on the disk icon in the standard toolbar.  </t>
  </si>
  <si>
    <t>To save under a different name, follow these steps:</t>
  </si>
  <si>
    <t xml:space="preserve">       Select File, Save As to display the Save As Type drop-box, chose Excel Workbook (*.xlsx)</t>
  </si>
  <si>
    <t xml:space="preserve">       Select the folder in which to store the workbook.</t>
  </si>
  <si>
    <t xml:space="preserve">       Enter the new filename in the File name box.</t>
  </si>
  <si>
    <t xml:space="preserve">       Click Save.</t>
  </si>
  <si>
    <t>oasdi</t>
  </si>
  <si>
    <t>sit</t>
  </si>
  <si>
    <t>suta</t>
  </si>
  <si>
    <t>cit</t>
  </si>
  <si>
    <t>ee</t>
  </si>
  <si>
    <t>er</t>
  </si>
  <si>
    <t>It is recommended that you save the file to a new name that identifies the file as yours, such as CPP_A_B_Your_Name.xlsx</t>
  </si>
  <si>
    <t>GROUP</t>
  </si>
  <si>
    <t>INS.</t>
  </si>
  <si>
    <t>NET</t>
  </si>
  <si>
    <t>PAY</t>
  </si>
  <si>
    <t xml:space="preserve">OT </t>
  </si>
  <si>
    <t>Gross</t>
  </si>
  <si>
    <t>Pay</t>
  </si>
  <si>
    <t>FICA Taxes Payable - OASDI*</t>
  </si>
  <si>
    <t>FICA Taxes Payable - HI**</t>
  </si>
  <si>
    <t>**$7,544.31 x 0.0145 = $109.39</t>
  </si>
  <si>
    <t>*$7,544.31 x 0.062 = $467.75</t>
  </si>
  <si>
    <t>Reg.</t>
  </si>
  <si>
    <t>OT</t>
  </si>
  <si>
    <t>Caution: See "round" rules in Excel Instructions before calculating OT for employees.</t>
  </si>
  <si>
    <r>
      <t>CAUTION</t>
    </r>
    <r>
      <rPr>
        <sz val="10"/>
        <color indexed="10"/>
        <rFont val="Arial"/>
        <family val="2"/>
      </rPr>
      <t>: See "round" rules in Excel Instructions before calculating OT for employees.</t>
    </r>
  </si>
  <si>
    <t>**$9,639.80 x 0.0145 = $139.78</t>
  </si>
  <si>
    <t>*$9,639.80 x 0.062 = $597.67</t>
  </si>
  <si>
    <t>Chapter 6</t>
  </si>
  <si>
    <t>Chapter 5</t>
  </si>
  <si>
    <t>Chapter 4</t>
  </si>
  <si>
    <t>Chapter 3</t>
  </si>
  <si>
    <t>Chapter 2</t>
  </si>
  <si>
    <t>Excel Instructions using Excel 2010 or 2013:</t>
  </si>
  <si>
    <t xml:space="preserve">Chapter 2 </t>
  </si>
  <si>
    <t xml:space="preserve">Chapter 3 </t>
  </si>
  <si>
    <t xml:space="preserve">Chapter 4 </t>
  </si>
  <si>
    <t xml:space="preserve">Chapter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</si>
</sst>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#,##0.000000_);\(#,##0.000000\)"/>
    <numFmt numFmtId="166" formatCode="0.000000"/>
  </numFmts>
  <fonts count="26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b/>
      <sz val="12"/>
      <color indexed="10"/>
      <name val="Times New Roman"/>
      <family val="1"/>
    </font>
    <font>
      <b/>
      <sz val="8"/>
      <color indexed="81"/>
      <name val="Tahoma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42"/>
      <name val="Arial"/>
      <family val="2"/>
    </font>
    <font>
      <sz val="10"/>
      <color indexed="12"/>
      <name val="Arial"/>
      <family val="2"/>
    </font>
    <font>
      <sz val="10"/>
      <color indexed="12"/>
      <name val="Arial"/>
    </font>
    <font>
      <sz val="8"/>
      <name val="Arial"/>
    </font>
    <font>
      <sz val="9"/>
      <color indexed="81"/>
      <name val="Tahoma"/>
      <charset val="1"/>
    </font>
    <font>
      <sz val="12"/>
      <color indexed="10"/>
      <name val="Times New Roman"/>
      <family val="1"/>
    </font>
    <font>
      <sz val="12"/>
      <color indexed="10"/>
      <name val="Times New Romain"/>
    </font>
    <font>
      <b/>
      <sz val="12"/>
      <name val="Times New Roman"/>
      <family val="1"/>
    </font>
    <font>
      <b/>
      <sz val="14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Fill="1"/>
    <xf numFmtId="0" fontId="2" fillId="0" borderId="0" xfId="0" applyFont="1"/>
    <xf numFmtId="43" fontId="0" fillId="2" borderId="1" xfId="0" applyNumberFormat="1" applyFill="1" applyBorder="1" applyProtection="1">
      <protection locked="0"/>
    </xf>
    <xf numFmtId="0" fontId="0" fillId="3" borderId="0" xfId="0" applyFill="1"/>
    <xf numFmtId="0" fontId="8" fillId="3" borderId="0" xfId="0" applyFont="1" applyFill="1" applyAlignment="1" applyProtection="1">
      <alignment horizontal="left"/>
      <protection hidden="1"/>
    </xf>
    <xf numFmtId="0" fontId="2" fillId="0" borderId="0" xfId="0" applyFont="1" applyProtection="1"/>
    <xf numFmtId="0" fontId="2" fillId="0" borderId="0" xfId="0" quotePrefix="1" applyFont="1" applyProtection="1"/>
    <xf numFmtId="0" fontId="10" fillId="0" borderId="0" xfId="0" applyFont="1" applyProtection="1"/>
    <xf numFmtId="0" fontId="0" fillId="3" borderId="0" xfId="0" applyFill="1" applyBorder="1" applyAlignment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3" borderId="2" xfId="0" applyFill="1" applyBorder="1"/>
    <xf numFmtId="0" fontId="4" fillId="3" borderId="2" xfId="0" applyFont="1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3" fillId="3" borderId="7" xfId="0" applyFont="1" applyFill="1" applyBorder="1" applyAlignment="1">
      <alignment horizontal="center"/>
    </xf>
    <xf numFmtId="0" fontId="0" fillId="3" borderId="8" xfId="0" applyFill="1" applyBorder="1"/>
    <xf numFmtId="0" fontId="0" fillId="3" borderId="9" xfId="0" applyFill="1" applyBorder="1" applyAlignment="1">
      <alignment horizontal="center"/>
    </xf>
    <xf numFmtId="0" fontId="0" fillId="3" borderId="2" xfId="0" applyFill="1" applyBorder="1" applyAlignment="1"/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43" fontId="0" fillId="2" borderId="12" xfId="0" applyNumberFormat="1" applyFill="1" applyBorder="1" applyProtection="1">
      <protection locked="0"/>
    </xf>
    <xf numFmtId="43" fontId="0" fillId="2" borderId="13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</xf>
    <xf numFmtId="0" fontId="0" fillId="3" borderId="14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2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5" xfId="0" applyFill="1" applyBorder="1" applyAlignment="1" applyProtection="1">
      <alignment horizontal="center"/>
    </xf>
    <xf numFmtId="0" fontId="8" fillId="3" borderId="16" xfId="0" applyFont="1" applyFill="1" applyBorder="1" applyAlignment="1" applyProtection="1">
      <alignment horizontal="left"/>
      <protection hidden="1"/>
    </xf>
    <xf numFmtId="0" fontId="8" fillId="3" borderId="17" xfId="0" applyFont="1" applyFill="1" applyBorder="1" applyAlignment="1" applyProtection="1">
      <alignment horizontal="left"/>
      <protection hidden="1"/>
    </xf>
    <xf numFmtId="0" fontId="8" fillId="3" borderId="18" xfId="0" applyFont="1" applyFill="1" applyBorder="1" applyAlignment="1" applyProtection="1">
      <alignment horizontal="left"/>
      <protection hidden="1"/>
    </xf>
    <xf numFmtId="43" fontId="0" fillId="2" borderId="19" xfId="0" applyNumberFormat="1" applyFill="1" applyBorder="1" applyProtection="1">
      <protection locked="0"/>
    </xf>
    <xf numFmtId="0" fontId="8" fillId="3" borderId="0" xfId="0" applyFont="1" applyFill="1" applyBorder="1" applyAlignment="1" applyProtection="1">
      <alignment horizontal="left"/>
      <protection hidden="1"/>
    </xf>
    <xf numFmtId="0" fontId="4" fillId="3" borderId="2" xfId="0" applyFont="1" applyFill="1" applyBorder="1" applyAlignment="1"/>
    <xf numFmtId="0" fontId="5" fillId="3" borderId="2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0" fillId="3" borderId="9" xfId="0" applyFill="1" applyBorder="1"/>
    <xf numFmtId="0" fontId="8" fillId="3" borderId="9" xfId="0" applyFont="1" applyFill="1" applyBorder="1" applyAlignment="1" applyProtection="1">
      <alignment horizontal="left"/>
      <protection hidden="1"/>
    </xf>
    <xf numFmtId="43" fontId="3" fillId="2" borderId="3" xfId="0" applyNumberFormat="1" applyFont="1" applyFill="1" applyBorder="1" applyAlignment="1" applyProtection="1">
      <alignment horizontal="right"/>
      <protection locked="0"/>
    </xf>
    <xf numFmtId="0" fontId="3" fillId="3" borderId="22" xfId="0" applyFont="1" applyFill="1" applyBorder="1" applyAlignment="1">
      <alignment horizontal="center"/>
    </xf>
    <xf numFmtId="0" fontId="8" fillId="3" borderId="23" xfId="0" applyFont="1" applyFill="1" applyBorder="1" applyAlignment="1" applyProtection="1">
      <alignment horizontal="left"/>
      <protection hidden="1"/>
    </xf>
    <xf numFmtId="43" fontId="0" fillId="2" borderId="24" xfId="0" applyNumberFormat="1" applyFill="1" applyBorder="1" applyAlignment="1" applyProtection="1">
      <alignment horizontal="right"/>
      <protection locked="0"/>
    </xf>
    <xf numFmtId="43" fontId="0" fillId="2" borderId="12" xfId="0" applyNumberFormat="1" applyFill="1" applyBorder="1" applyAlignment="1" applyProtection="1">
      <alignment horizontal="right"/>
      <protection locked="0"/>
    </xf>
    <xf numFmtId="43" fontId="0" fillId="2" borderId="13" xfId="0" applyNumberFormat="1" applyFill="1" applyBorder="1" applyAlignment="1" applyProtection="1">
      <alignment horizontal="right"/>
      <protection locked="0"/>
    </xf>
    <xf numFmtId="0" fontId="0" fillId="3" borderId="25" xfId="0" applyFill="1" applyBorder="1"/>
    <xf numFmtId="0" fontId="0" fillId="3" borderId="26" xfId="0" applyFill="1" applyBorder="1"/>
    <xf numFmtId="43" fontId="0" fillId="2" borderId="27" xfId="0" applyNumberFormat="1" applyFill="1" applyBorder="1" applyProtection="1">
      <protection locked="0"/>
    </xf>
    <xf numFmtId="0" fontId="2" fillId="3" borderId="2" xfId="0" applyFont="1" applyFill="1" applyBorder="1"/>
    <xf numFmtId="0" fontId="11" fillId="3" borderId="2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3" borderId="7" xfId="0" quotePrefix="1" applyFill="1" applyBorder="1"/>
    <xf numFmtId="0" fontId="8" fillId="3" borderId="28" xfId="0" applyFont="1" applyFill="1" applyBorder="1" applyAlignment="1" applyProtection="1">
      <alignment horizontal="left"/>
      <protection hidden="1"/>
    </xf>
    <xf numFmtId="43" fontId="0" fillId="2" borderId="29" xfId="0" applyNumberFormat="1" applyFill="1" applyBorder="1" applyProtection="1">
      <protection locked="0"/>
    </xf>
    <xf numFmtId="0" fontId="0" fillId="3" borderId="14" xfId="0" applyFill="1" applyBorder="1" applyAlignment="1"/>
    <xf numFmtId="0" fontId="5" fillId="3" borderId="9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43" fontId="3" fillId="2" borderId="31" xfId="0" applyNumberFormat="1" applyFont="1" applyFill="1" applyBorder="1" applyAlignment="1" applyProtection="1">
      <alignment horizontal="right"/>
      <protection locked="0"/>
    </xf>
    <xf numFmtId="43" fontId="3" fillId="2" borderId="32" xfId="0" applyNumberFormat="1" applyFont="1" applyFill="1" applyBorder="1" applyAlignment="1" applyProtection="1">
      <alignment horizontal="right"/>
      <protection locked="0"/>
    </xf>
    <xf numFmtId="43" fontId="3" fillId="2" borderId="6" xfId="0" applyNumberFormat="1" applyFont="1" applyFill="1" applyBorder="1" applyAlignment="1" applyProtection="1">
      <alignment horizontal="right"/>
      <protection locked="0"/>
    </xf>
    <xf numFmtId="43" fontId="3" fillId="2" borderId="33" xfId="0" applyNumberFormat="1" applyFont="1" applyFill="1" applyBorder="1" applyAlignment="1" applyProtection="1">
      <alignment horizontal="right"/>
      <protection locked="0"/>
    </xf>
    <xf numFmtId="43" fontId="0" fillId="2" borderId="34" xfId="0" applyNumberFormat="1" applyFill="1" applyBorder="1" applyProtection="1">
      <protection locked="0"/>
    </xf>
    <xf numFmtId="164" fontId="3" fillId="3" borderId="7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43" fontId="3" fillId="2" borderId="35" xfId="0" applyNumberFormat="1" applyFont="1" applyFill="1" applyBorder="1" applyAlignment="1" applyProtection="1">
      <alignment horizontal="right"/>
      <protection locked="0"/>
    </xf>
    <xf numFmtId="43" fontId="3" fillId="2" borderId="36" xfId="0" applyNumberFormat="1" applyFont="1" applyFill="1" applyBorder="1" applyAlignment="1" applyProtection="1">
      <alignment horizontal="right"/>
      <protection locked="0"/>
    </xf>
    <xf numFmtId="0" fontId="12" fillId="0" borderId="0" xfId="0" applyFont="1"/>
    <xf numFmtId="43" fontId="3" fillId="2" borderId="27" xfId="0" applyNumberFormat="1" applyFont="1" applyFill="1" applyBorder="1" applyAlignment="1" applyProtection="1">
      <alignment horizontal="right"/>
      <protection locked="0"/>
    </xf>
    <xf numFmtId="0" fontId="3" fillId="2" borderId="37" xfId="0" applyFont="1" applyFill="1" applyBorder="1" applyAlignment="1" applyProtection="1">
      <alignment horizontal="center"/>
      <protection locked="0"/>
    </xf>
    <xf numFmtId="0" fontId="3" fillId="2" borderId="38" xfId="0" applyFont="1" applyFill="1" applyBorder="1" applyAlignment="1" applyProtection="1">
      <alignment horizontal="center"/>
      <protection locked="0"/>
    </xf>
    <xf numFmtId="164" fontId="3" fillId="2" borderId="33" xfId="0" applyNumberFormat="1" applyFont="1" applyFill="1" applyBorder="1" applyAlignment="1" applyProtection="1">
      <alignment horizontal="center"/>
      <protection locked="0"/>
    </xf>
    <xf numFmtId="164" fontId="3" fillId="2" borderId="31" xfId="0" applyNumberFormat="1" applyFont="1" applyFill="1" applyBorder="1" applyAlignment="1" applyProtection="1">
      <alignment horizontal="center"/>
      <protection locked="0"/>
    </xf>
    <xf numFmtId="0" fontId="5" fillId="3" borderId="15" xfId="0" applyFont="1" applyFill="1" applyBorder="1" applyAlignment="1">
      <alignment horizontal="center"/>
    </xf>
    <xf numFmtId="0" fontId="5" fillId="3" borderId="15" xfId="0" applyFont="1" applyFill="1" applyBorder="1" applyAlignment="1" applyProtection="1">
      <alignment horizontal="center"/>
    </xf>
    <xf numFmtId="0" fontId="5" fillId="3" borderId="39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right"/>
    </xf>
    <xf numFmtId="0" fontId="0" fillId="3" borderId="40" xfId="0" applyFill="1" applyBorder="1" applyAlignment="1">
      <alignment horizontal="center"/>
    </xf>
    <xf numFmtId="0" fontId="5" fillId="3" borderId="41" xfId="0" applyFont="1" applyFill="1" applyBorder="1" applyAlignment="1">
      <alignment horizontal="center"/>
    </xf>
    <xf numFmtId="0" fontId="5" fillId="3" borderId="42" xfId="0" applyFont="1" applyFill="1" applyBorder="1" applyAlignment="1">
      <alignment horizontal="center"/>
    </xf>
    <xf numFmtId="0" fontId="0" fillId="3" borderId="43" xfId="0" applyNumberFormat="1" applyFill="1" applyBorder="1" applyAlignment="1" applyProtection="1">
      <alignment horizontal="center"/>
    </xf>
    <xf numFmtId="43" fontId="0" fillId="3" borderId="44" xfId="0" applyNumberFormat="1" applyFill="1" applyBorder="1" applyProtection="1"/>
    <xf numFmtId="43" fontId="0" fillId="2" borderId="32" xfId="0" applyNumberFormat="1" applyFill="1" applyBorder="1" applyProtection="1">
      <protection locked="0"/>
    </xf>
    <xf numFmtId="0" fontId="5" fillId="3" borderId="24" xfId="0" applyFont="1" applyFill="1" applyBorder="1" applyAlignment="1">
      <alignment horizontal="right"/>
    </xf>
    <xf numFmtId="164" fontId="3" fillId="2" borderId="45" xfId="0" applyNumberFormat="1" applyFont="1" applyFill="1" applyBorder="1" applyAlignment="1" applyProtection="1">
      <alignment horizontal="center"/>
      <protection locked="0"/>
    </xf>
    <xf numFmtId="7" fontId="0" fillId="2" borderId="45" xfId="0" applyNumberFormat="1" applyFill="1" applyBorder="1" applyAlignment="1" applyProtection="1">
      <alignment horizontal="center"/>
      <protection locked="0"/>
    </xf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  <protection hidden="1"/>
    </xf>
    <xf numFmtId="0" fontId="3" fillId="3" borderId="44" xfId="0" applyFont="1" applyFill="1" applyBorder="1" applyAlignment="1" applyProtection="1">
      <alignment horizontal="center"/>
    </xf>
    <xf numFmtId="0" fontId="3" fillId="3" borderId="46" xfId="0" applyFont="1" applyFill="1" applyBorder="1" applyAlignment="1" applyProtection="1">
      <alignment horizontal="center"/>
    </xf>
    <xf numFmtId="0" fontId="0" fillId="3" borderId="15" xfId="0" quotePrefix="1" applyFill="1" applyBorder="1"/>
    <xf numFmtId="0" fontId="0" fillId="3" borderId="15" xfId="0" applyFill="1" applyBorder="1"/>
    <xf numFmtId="0" fontId="0" fillId="3" borderId="37" xfId="0" applyNumberFormat="1" applyFill="1" applyBorder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43" fontId="14" fillId="2" borderId="35" xfId="0" applyNumberFormat="1" applyFont="1" applyFill="1" applyBorder="1" applyAlignment="1" applyProtection="1">
      <alignment horizontal="right"/>
      <protection locked="0"/>
    </xf>
    <xf numFmtId="43" fontId="15" fillId="2" borderId="12" xfId="0" applyNumberFormat="1" applyFont="1" applyFill="1" applyBorder="1" applyAlignment="1" applyProtection="1">
      <alignment horizontal="right"/>
      <protection locked="0"/>
    </xf>
    <xf numFmtId="0" fontId="0" fillId="3" borderId="37" xfId="0" applyNumberFormat="1" applyFill="1" applyBorder="1" applyAlignment="1" applyProtection="1">
      <alignment horizontal="center"/>
    </xf>
    <xf numFmtId="43" fontId="14" fillId="2" borderId="32" xfId="0" applyNumberFormat="1" applyFont="1" applyFill="1" applyBorder="1" applyAlignment="1" applyProtection="1">
      <alignment horizontal="right"/>
      <protection locked="0"/>
    </xf>
    <xf numFmtId="0" fontId="14" fillId="2" borderId="38" xfId="0" applyFont="1" applyFill="1" applyBorder="1" applyAlignment="1" applyProtection="1">
      <alignment horizontal="center"/>
      <protection locked="0"/>
    </xf>
    <xf numFmtId="164" fontId="14" fillId="2" borderId="45" xfId="0" applyNumberFormat="1" applyFont="1" applyFill="1" applyBorder="1" applyAlignment="1" applyProtection="1">
      <alignment horizontal="center"/>
      <protection locked="0"/>
    </xf>
    <xf numFmtId="43" fontId="14" fillId="2" borderId="6" xfId="0" applyNumberFormat="1" applyFont="1" applyFill="1" applyBorder="1" applyAlignment="1" applyProtection="1">
      <alignment horizontal="right"/>
      <protection locked="0"/>
    </xf>
    <xf numFmtId="43" fontId="14" fillId="2" borderId="36" xfId="0" applyNumberFormat="1" applyFont="1" applyFill="1" applyBorder="1" applyAlignment="1" applyProtection="1">
      <alignment horizontal="right"/>
      <protection locked="0"/>
    </xf>
    <xf numFmtId="12" fontId="14" fillId="2" borderId="38" xfId="0" applyNumberFormat="1" applyFont="1" applyFill="1" applyBorder="1" applyAlignment="1" applyProtection="1">
      <alignment horizontal="center"/>
      <protection locked="0"/>
    </xf>
    <xf numFmtId="7" fontId="14" fillId="2" borderId="45" xfId="0" applyNumberFormat="1" applyFont="1" applyFill="1" applyBorder="1" applyAlignment="1" applyProtection="1">
      <alignment horizontal="center"/>
      <protection locked="0"/>
    </xf>
    <xf numFmtId="43" fontId="14" fillId="2" borderId="27" xfId="0" applyNumberFormat="1" applyFont="1" applyFill="1" applyBorder="1" applyAlignment="1" applyProtection="1">
      <alignment horizontal="right"/>
      <protection locked="0"/>
    </xf>
    <xf numFmtId="43" fontId="14" fillId="2" borderId="33" xfId="0" applyNumberFormat="1" applyFont="1" applyFill="1" applyBorder="1" applyAlignment="1" applyProtection="1">
      <alignment horizontal="right"/>
      <protection locked="0"/>
    </xf>
    <xf numFmtId="164" fontId="14" fillId="2" borderId="33" xfId="0" applyNumberFormat="1" applyFont="1" applyFill="1" applyBorder="1" applyAlignment="1" applyProtection="1">
      <alignment horizontal="center"/>
      <protection locked="0"/>
    </xf>
    <xf numFmtId="43" fontId="14" fillId="2" borderId="34" xfId="0" applyNumberFormat="1" applyFont="1" applyFill="1" applyBorder="1" applyProtection="1">
      <protection locked="0"/>
    </xf>
    <xf numFmtId="0" fontId="14" fillId="3" borderId="44" xfId="0" applyFont="1" applyFill="1" applyBorder="1" applyAlignment="1" applyProtection="1">
      <alignment horizontal="center"/>
    </xf>
    <xf numFmtId="0" fontId="14" fillId="3" borderId="46" xfId="0" applyFont="1" applyFill="1" applyBorder="1" applyAlignment="1" applyProtection="1">
      <alignment horizontal="center"/>
    </xf>
    <xf numFmtId="43" fontId="15" fillId="2" borderId="34" xfId="0" applyNumberFormat="1" applyFont="1" applyFill="1" applyBorder="1" applyProtection="1">
      <protection locked="0"/>
    </xf>
    <xf numFmtId="4" fontId="0" fillId="0" borderId="0" xfId="0" applyNumberFormat="1"/>
    <xf numFmtId="4" fontId="0" fillId="2" borderId="13" xfId="0" applyNumberFormat="1" applyFill="1" applyBorder="1" applyProtection="1">
      <protection locked="0"/>
    </xf>
    <xf numFmtId="4" fontId="0" fillId="2" borderId="12" xfId="0" applyNumberFormat="1" applyFill="1" applyBorder="1" applyProtection="1">
      <protection locked="0"/>
    </xf>
    <xf numFmtId="4" fontId="0" fillId="2" borderId="12" xfId="0" applyNumberFormat="1" applyFill="1" applyBorder="1" applyAlignment="1" applyProtection="1">
      <alignment horizontal="right"/>
      <protection locked="0"/>
    </xf>
    <xf numFmtId="4" fontId="0" fillId="2" borderId="1" xfId="0" applyNumberFormat="1" applyFill="1" applyBorder="1" applyProtection="1">
      <protection locked="0"/>
    </xf>
    <xf numFmtId="4" fontId="0" fillId="2" borderId="13" xfId="0" applyNumberFormat="1" applyFill="1" applyBorder="1" applyAlignment="1" applyProtection="1">
      <alignment horizontal="right"/>
      <protection locked="0"/>
    </xf>
    <xf numFmtId="4" fontId="0" fillId="2" borderId="24" xfId="0" applyNumberFormat="1" applyFill="1" applyBorder="1" applyAlignment="1" applyProtection="1">
      <alignment horizontal="right"/>
      <protection locked="0"/>
    </xf>
    <xf numFmtId="4" fontId="0" fillId="2" borderId="19" xfId="0" applyNumberFormat="1" applyFill="1" applyBorder="1" applyProtection="1">
      <protection locked="0"/>
    </xf>
    <xf numFmtId="4" fontId="0" fillId="2" borderId="29" xfId="0" applyNumberFormat="1" applyFill="1" applyBorder="1" applyProtection="1">
      <protection locked="0"/>
    </xf>
    <xf numFmtId="4" fontId="0" fillId="2" borderId="34" xfId="0" applyNumberFormat="1" applyFill="1" applyBorder="1" applyProtection="1">
      <protection locked="0"/>
    </xf>
    <xf numFmtId="43" fontId="15" fillId="2" borderId="13" xfId="0" applyNumberFormat="1" applyFont="1" applyFill="1" applyBorder="1" applyProtection="1">
      <protection locked="0"/>
    </xf>
    <xf numFmtId="43" fontId="15" fillId="2" borderId="12" xfId="0" applyNumberFormat="1" applyFont="1" applyFill="1" applyBorder="1" applyProtection="1">
      <protection locked="0"/>
    </xf>
    <xf numFmtId="43" fontId="3" fillId="2" borderId="34" xfId="0" applyNumberFormat="1" applyFont="1" applyFill="1" applyBorder="1" applyProtection="1">
      <protection locked="0"/>
    </xf>
    <xf numFmtId="12" fontId="3" fillId="2" borderId="38" xfId="0" applyNumberFormat="1" applyFont="1" applyFill="1" applyBorder="1" applyAlignment="1" applyProtection="1">
      <alignment horizontal="center"/>
      <protection locked="0"/>
    </xf>
    <xf numFmtId="7" fontId="3" fillId="2" borderId="45" xfId="0" applyNumberFormat="1" applyFont="1" applyFill="1" applyBorder="1" applyAlignment="1" applyProtection="1">
      <alignment horizontal="center"/>
      <protection locked="0"/>
    </xf>
    <xf numFmtId="43" fontId="1" fillId="2" borderId="12" xfId="0" applyNumberFormat="1" applyFont="1" applyFill="1" applyBorder="1" applyAlignment="1" applyProtection="1">
      <alignment horizontal="right"/>
      <protection locked="0"/>
    </xf>
    <xf numFmtId="43" fontId="1" fillId="2" borderId="34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4" fontId="3" fillId="0" borderId="3" xfId="0" applyNumberFormat="1" applyFont="1" applyFill="1" applyBorder="1" applyAlignment="1" applyProtection="1">
      <alignment horizontal="right"/>
      <protection locked="0"/>
    </xf>
    <xf numFmtId="43" fontId="1" fillId="2" borderId="13" xfId="0" applyNumberFormat="1" applyFont="1" applyFill="1" applyBorder="1" applyProtection="1">
      <protection locked="0"/>
    </xf>
    <xf numFmtId="43" fontId="1" fillId="2" borderId="12" xfId="0" applyNumberFormat="1" applyFont="1" applyFill="1" applyBorder="1" applyProtection="1">
      <protection locked="0"/>
    </xf>
    <xf numFmtId="43" fontId="15" fillId="2" borderId="13" xfId="0" applyNumberFormat="1" applyFont="1" applyFill="1" applyBorder="1" applyAlignment="1" applyProtection="1">
      <alignment horizontal="right"/>
      <protection locked="0"/>
    </xf>
    <xf numFmtId="43" fontId="15" fillId="2" borderId="24" xfId="0" applyNumberFormat="1" applyFont="1" applyFill="1" applyBorder="1" applyAlignment="1" applyProtection="1">
      <alignment horizontal="right"/>
      <protection locked="0"/>
    </xf>
    <xf numFmtId="43" fontId="15" fillId="2" borderId="19" xfId="0" applyNumberFormat="1" applyFont="1" applyFill="1" applyBorder="1" applyProtection="1">
      <protection locked="0"/>
    </xf>
    <xf numFmtId="43" fontId="1" fillId="2" borderId="13" xfId="0" applyNumberFormat="1" applyFont="1" applyFill="1" applyBorder="1" applyAlignment="1" applyProtection="1">
      <alignment horizontal="right"/>
      <protection locked="0"/>
    </xf>
    <xf numFmtId="43" fontId="1" fillId="2" borderId="24" xfId="0" applyNumberFormat="1" applyFont="1" applyFill="1" applyBorder="1" applyAlignment="1" applyProtection="1">
      <alignment horizontal="right"/>
      <protection locked="0"/>
    </xf>
    <xf numFmtId="43" fontId="1" fillId="2" borderId="19" xfId="0" applyNumberFormat="1" applyFont="1" applyFill="1" applyBorder="1" applyProtection="1">
      <protection locked="0"/>
    </xf>
    <xf numFmtId="0" fontId="0" fillId="3" borderId="2" xfId="0" applyFill="1" applyBorder="1" applyProtection="1">
      <protection locked="0"/>
    </xf>
    <xf numFmtId="4" fontId="0" fillId="3" borderId="2" xfId="0" applyNumberFormat="1" applyFill="1" applyBorder="1" applyProtection="1">
      <protection locked="0"/>
    </xf>
    <xf numFmtId="4" fontId="0" fillId="3" borderId="0" xfId="0" applyNumberFormat="1" applyFill="1"/>
    <xf numFmtId="2" fontId="0" fillId="3" borderId="2" xfId="0" applyNumberFormat="1" applyFill="1" applyBorder="1" applyProtection="1">
      <protection locked="0"/>
    </xf>
    <xf numFmtId="2" fontId="0" fillId="3" borderId="0" xfId="0" applyNumberFormat="1" applyFill="1"/>
    <xf numFmtId="0" fontId="18" fillId="3" borderId="0" xfId="0" applyFont="1" applyFill="1"/>
    <xf numFmtId="43" fontId="15" fillId="3" borderId="2" xfId="0" applyNumberFormat="1" applyFont="1" applyFill="1" applyBorder="1" applyProtection="1">
      <protection locked="0"/>
    </xf>
    <xf numFmtId="0" fontId="15" fillId="3" borderId="2" xfId="0" applyFont="1" applyFill="1" applyBorder="1" applyProtection="1">
      <protection locked="0"/>
    </xf>
    <xf numFmtId="43" fontId="0" fillId="0" borderId="0" xfId="0" applyNumberFormat="1"/>
    <xf numFmtId="0" fontId="19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43" fontId="15" fillId="2" borderId="1" xfId="0" applyNumberFormat="1" applyFont="1" applyFill="1" applyBorder="1" applyProtection="1">
      <protection locked="0"/>
    </xf>
    <xf numFmtId="43" fontId="15" fillId="2" borderId="27" xfId="0" applyNumberFormat="1" applyFont="1" applyFill="1" applyBorder="1" applyProtection="1">
      <protection locked="0"/>
    </xf>
    <xf numFmtId="0" fontId="15" fillId="3" borderId="37" xfId="0" applyNumberFormat="1" applyFont="1" applyFill="1" applyBorder="1" applyAlignment="1" applyProtection="1">
      <alignment horizontal="center"/>
    </xf>
    <xf numFmtId="0" fontId="15" fillId="3" borderId="43" xfId="0" applyNumberFormat="1" applyFont="1" applyFill="1" applyBorder="1" applyAlignment="1" applyProtection="1">
      <alignment horizontal="center"/>
    </xf>
    <xf numFmtId="43" fontId="1" fillId="2" borderId="27" xfId="0" applyNumberFormat="1" applyFont="1" applyFill="1" applyBorder="1" applyProtection="1">
      <protection locked="0"/>
    </xf>
    <xf numFmtId="0" fontId="20" fillId="3" borderId="0" xfId="0" applyFont="1" applyFill="1" applyBorder="1" applyAlignment="1" applyProtection="1">
      <alignment horizontal="left"/>
      <protection hidden="1"/>
    </xf>
    <xf numFmtId="0" fontId="20" fillId="3" borderId="16" xfId="0" applyFont="1" applyFill="1" applyBorder="1" applyAlignment="1" applyProtection="1">
      <alignment horizontal="left"/>
      <protection hidden="1"/>
    </xf>
    <xf numFmtId="0" fontId="20" fillId="3" borderId="17" xfId="0" applyFont="1" applyFill="1" applyBorder="1" applyAlignment="1" applyProtection="1">
      <alignment horizontal="left"/>
      <protection hidden="1"/>
    </xf>
    <xf numFmtId="0" fontId="20" fillId="3" borderId="28" xfId="0" applyFont="1" applyFill="1" applyBorder="1" applyAlignment="1" applyProtection="1">
      <alignment horizontal="left"/>
      <protection hidden="1"/>
    </xf>
    <xf numFmtId="0" fontId="20" fillId="3" borderId="18" xfId="0" applyFont="1" applyFill="1" applyBorder="1" applyAlignment="1" applyProtection="1">
      <alignment horizontal="left"/>
      <protection hidden="1"/>
    </xf>
    <xf numFmtId="0" fontId="21" fillId="0" borderId="0" xfId="0" applyFont="1"/>
    <xf numFmtId="0" fontId="22" fillId="0" borderId="0" xfId="0" applyFont="1"/>
    <xf numFmtId="0" fontId="23" fillId="0" borderId="0" xfId="0" applyFont="1"/>
    <xf numFmtId="164" fontId="3" fillId="3" borderId="7" xfId="0" applyNumberFormat="1" applyFont="1" applyFill="1" applyBorder="1" applyAlignment="1" applyProtection="1">
      <alignment horizontal="center"/>
      <protection locked="0"/>
    </xf>
    <xf numFmtId="0" fontId="3" fillId="2" borderId="30" xfId="0" applyFont="1" applyFill="1" applyBorder="1" applyAlignment="1" applyProtection="1">
      <alignment horizontal="center"/>
      <protection locked="0"/>
    </xf>
    <xf numFmtId="164" fontId="3" fillId="2" borderId="7" xfId="0" applyNumberFormat="1" applyFont="1" applyFill="1" applyBorder="1" applyAlignment="1" applyProtection="1">
      <alignment horizontal="center"/>
      <protection locked="0"/>
    </xf>
    <xf numFmtId="43" fontId="15" fillId="2" borderId="32" xfId="0" applyNumberFormat="1" applyFont="1" applyFill="1" applyBorder="1" applyProtection="1">
      <protection locked="0"/>
    </xf>
    <xf numFmtId="43" fontId="15" fillId="2" borderId="29" xfId="0" applyNumberFormat="1" applyFont="1" applyFill="1" applyBorder="1" applyProtection="1">
      <protection locked="0"/>
    </xf>
    <xf numFmtId="0" fontId="14" fillId="2" borderId="30" xfId="0" applyFont="1" applyFill="1" applyBorder="1" applyAlignment="1" applyProtection="1">
      <alignment horizontal="center"/>
      <protection locked="0"/>
    </xf>
    <xf numFmtId="164" fontId="14" fillId="2" borderId="7" xfId="0" applyNumberFormat="1" applyFont="1" applyFill="1" applyBorder="1" applyAlignment="1" applyProtection="1">
      <alignment horizontal="center"/>
      <protection locked="0"/>
    </xf>
    <xf numFmtId="0" fontId="14" fillId="2" borderId="37" xfId="0" applyFont="1" applyFill="1" applyBorder="1" applyAlignment="1" applyProtection="1">
      <alignment horizontal="center"/>
      <protection locked="0"/>
    </xf>
    <xf numFmtId="164" fontId="14" fillId="2" borderId="31" xfId="0" applyNumberFormat="1" applyFont="1" applyFill="1" applyBorder="1" applyAlignment="1" applyProtection="1">
      <alignment horizontal="center"/>
      <protection locked="0"/>
    </xf>
    <xf numFmtId="43" fontId="14" fillId="2" borderId="31" xfId="0" applyNumberFormat="1" applyFont="1" applyFill="1" applyBorder="1" applyAlignment="1" applyProtection="1">
      <alignment horizontal="right"/>
      <protection locked="0"/>
    </xf>
    <xf numFmtId="43" fontId="1" fillId="2" borderId="2" xfId="0" applyNumberFormat="1" applyFont="1" applyFill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1" fillId="3" borderId="37" xfId="0" applyNumberFormat="1" applyFont="1" applyFill="1" applyBorder="1" applyAlignment="1" applyProtection="1">
      <alignment horizontal="center"/>
    </xf>
    <xf numFmtId="43" fontId="1" fillId="2" borderId="1" xfId="0" applyNumberFormat="1" applyFont="1" applyFill="1" applyBorder="1" applyProtection="1">
      <protection locked="0"/>
    </xf>
    <xf numFmtId="0" fontId="1" fillId="3" borderId="43" xfId="0" applyNumberFormat="1" applyFont="1" applyFill="1" applyBorder="1" applyAlignment="1" applyProtection="1">
      <alignment horizontal="center"/>
    </xf>
    <xf numFmtId="43" fontId="1" fillId="3" borderId="44" xfId="0" applyNumberFormat="1" applyFont="1" applyFill="1" applyBorder="1" applyProtection="1"/>
    <xf numFmtId="43" fontId="15" fillId="2" borderId="2" xfId="0" applyNumberFormat="1" applyFont="1" applyFill="1" applyBorder="1" applyProtection="1">
      <protection locked="0"/>
    </xf>
    <xf numFmtId="0" fontId="15" fillId="2" borderId="2" xfId="0" applyFont="1" applyFill="1" applyBorder="1" applyProtection="1"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14" fillId="2" borderId="7" xfId="0" applyFont="1" applyFill="1" applyBorder="1" applyAlignment="1" applyProtection="1">
      <alignment horizontal="center"/>
      <protection locked="0"/>
    </xf>
    <xf numFmtId="44" fontId="3" fillId="2" borderId="7" xfId="0" applyNumberFormat="1" applyFont="1" applyFill="1" applyBorder="1" applyAlignment="1" applyProtection="1">
      <alignment horizontal="center"/>
      <protection locked="0"/>
    </xf>
    <xf numFmtId="43" fontId="3" fillId="2" borderId="7" xfId="0" applyNumberFormat="1" applyFont="1" applyFill="1" applyBorder="1" applyAlignment="1" applyProtection="1">
      <alignment horizontal="center"/>
      <protection locked="0"/>
    </xf>
    <xf numFmtId="44" fontId="14" fillId="2" borderId="7" xfId="0" applyNumberFormat="1" applyFont="1" applyFill="1" applyBorder="1" applyAlignment="1" applyProtection="1">
      <alignment horizontal="center"/>
      <protection locked="0"/>
    </xf>
    <xf numFmtId="165" fontId="15" fillId="2" borderId="2" xfId="0" applyNumberFormat="1" applyFont="1" applyFill="1" applyBorder="1" applyProtection="1">
      <protection locked="0"/>
    </xf>
    <xf numFmtId="166" fontId="1" fillId="2" borderId="2" xfId="0" applyNumberFormat="1" applyFont="1" applyFill="1" applyBorder="1" applyProtection="1">
      <protection locked="0"/>
    </xf>
    <xf numFmtId="0" fontId="3" fillId="0" borderId="0" xfId="0" applyFont="1"/>
    <xf numFmtId="166" fontId="0" fillId="3" borderId="2" xfId="0" applyNumberFormat="1" applyFill="1" applyBorder="1" applyProtection="1">
      <protection locked="0"/>
    </xf>
    <xf numFmtId="166" fontId="15" fillId="2" borderId="2" xfId="0" applyNumberFormat="1" applyFont="1" applyFill="1" applyBorder="1" applyProtection="1">
      <protection locked="0"/>
    </xf>
    <xf numFmtId="0" fontId="8" fillId="3" borderId="0" xfId="0" applyFont="1" applyFill="1" applyBorder="1" applyAlignment="1" applyProtection="1">
      <alignment horizontal="left"/>
    </xf>
    <xf numFmtId="166" fontId="15" fillId="3" borderId="2" xfId="0" applyNumberFormat="1" applyFont="1" applyFill="1" applyBorder="1" applyProtection="1">
      <protection locked="0"/>
    </xf>
    <xf numFmtId="2" fontId="0" fillId="0" borderId="0" xfId="0" applyNumberFormat="1"/>
    <xf numFmtId="4" fontId="3" fillId="0" borderId="0" xfId="0" applyNumberFormat="1" applyFont="1"/>
    <xf numFmtId="4" fontId="3" fillId="2" borderId="34" xfId="0" applyNumberFormat="1" applyFont="1" applyFill="1" applyBorder="1" applyProtection="1">
      <protection locked="0"/>
    </xf>
    <xf numFmtId="0" fontId="0" fillId="3" borderId="0" xfId="0" applyFill="1" applyAlignment="1"/>
    <xf numFmtId="0" fontId="0" fillId="0" borderId="0" xfId="0" applyAlignment="1"/>
    <xf numFmtId="0" fontId="13" fillId="3" borderId="0" xfId="0" applyFont="1" applyFill="1" applyAlignment="1"/>
    <xf numFmtId="0" fontId="2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1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2" borderId="2" xfId="0" applyFill="1" applyBorder="1" applyAlignment="1" applyProtection="1">
      <alignment wrapText="1"/>
      <protection locked="0"/>
    </xf>
    <xf numFmtId="0" fontId="5" fillId="3" borderId="49" xfId="0" applyFont="1" applyFill="1" applyBorder="1" applyAlignment="1">
      <alignment horizontal="center" wrapText="1"/>
    </xf>
    <xf numFmtId="0" fontId="5" fillId="3" borderId="22" xfId="0" applyFont="1" applyFill="1" applyBorder="1" applyAlignment="1">
      <alignment horizont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4" fillId="3" borderId="40" xfId="0" applyFont="1" applyFill="1" applyBorder="1" applyAlignment="1">
      <alignment textRotation="90" wrapText="1"/>
    </xf>
    <xf numFmtId="0" fontId="0" fillId="0" borderId="41" xfId="0" applyBorder="1" applyAlignment="1">
      <alignment textRotation="90" wrapText="1"/>
    </xf>
    <xf numFmtId="0" fontId="0" fillId="0" borderId="42" xfId="0" applyBorder="1" applyAlignment="1">
      <alignment textRotation="90" wrapText="1"/>
    </xf>
    <xf numFmtId="0" fontId="5" fillId="3" borderId="47" xfId="0" applyFont="1" applyFill="1" applyBorder="1" applyAlignment="1">
      <alignment horizontal="center" wrapText="1"/>
    </xf>
    <xf numFmtId="0" fontId="5" fillId="0" borderId="48" xfId="0" applyFont="1" applyBorder="1" applyAlignment="1">
      <alignment horizontal="center" wrapText="1"/>
    </xf>
    <xf numFmtId="0" fontId="5" fillId="0" borderId="50" xfId="0" applyFont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5" fillId="3" borderId="24" xfId="0" applyFont="1" applyFill="1" applyBorder="1" applyAlignment="1" applyProtection="1">
      <alignment horizontal="center"/>
    </xf>
    <xf numFmtId="0" fontId="0" fillId="0" borderId="9" xfId="0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1" xfId="0" applyFont="1" applyFill="1" applyBorder="1" applyAlignment="1" applyProtection="1">
      <alignment horizontal="left"/>
    </xf>
    <xf numFmtId="0" fontId="0" fillId="0" borderId="10" xfId="0" applyBorder="1" applyAlignment="1">
      <alignment horizontal="left"/>
    </xf>
    <xf numFmtId="0" fontId="5" fillId="3" borderId="33" xfId="0" applyFont="1" applyFill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4" fillId="3" borderId="52" xfId="0" applyFont="1" applyFill="1" applyBorder="1" applyAlignment="1">
      <alignment horizontal="right" textRotation="90" wrapText="1"/>
    </xf>
    <xf numFmtId="0" fontId="0" fillId="3" borderId="7" xfId="0" applyFill="1" applyBorder="1" applyAlignment="1">
      <alignment horizontal="right" textRotation="90" wrapText="1"/>
    </xf>
    <xf numFmtId="16" fontId="0" fillId="3" borderId="2" xfId="0" quotePrefix="1" applyNumberFormat="1" applyFill="1" applyBorder="1" applyAlignment="1">
      <alignment wrapText="1"/>
    </xf>
    <xf numFmtId="0" fontId="0" fillId="0" borderId="2" xfId="0" applyBorder="1" applyAlignment="1">
      <alignment wrapText="1"/>
    </xf>
    <xf numFmtId="0" fontId="5" fillId="3" borderId="22" xfId="0" applyFont="1" applyFill="1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2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4" fillId="3" borderId="52" xfId="0" applyFont="1" applyFill="1" applyBorder="1" applyAlignment="1">
      <alignment textRotation="90" wrapText="1"/>
    </xf>
    <xf numFmtId="0" fontId="0" fillId="3" borderId="7" xfId="0" applyFill="1" applyBorder="1" applyAlignment="1">
      <alignment textRotation="90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4"/>
  <sheetViews>
    <sheetView showGridLines="0" tabSelected="1" workbookViewId="0">
      <selection activeCell="A3" sqref="A3"/>
    </sheetView>
  </sheetViews>
  <sheetFormatPr defaultRowHeight="12.5"/>
  <sheetData>
    <row r="2" spans="1:1" ht="18">
      <c r="A2" s="172" t="s">
        <v>158</v>
      </c>
    </row>
    <row r="3" spans="1:1" ht="8" customHeight="1">
      <c r="A3" s="173"/>
    </row>
    <row r="4" spans="1:1" ht="14.5">
      <c r="A4" s="173" t="s">
        <v>103</v>
      </c>
    </row>
    <row r="5" spans="1:1" ht="7" customHeight="1">
      <c r="A5" s="173"/>
    </row>
    <row r="6" spans="1:1" ht="14.5">
      <c r="A6" s="173" t="s">
        <v>104</v>
      </c>
    </row>
    <row r="7" spans="1:1" ht="14.5">
      <c r="A7" s="173" t="s">
        <v>105</v>
      </c>
    </row>
    <row r="8" spans="1:1" ht="14.5">
      <c r="A8" s="173" t="s">
        <v>106</v>
      </c>
    </row>
    <row r="9" spans="1:1" ht="14.5">
      <c r="A9" s="173" t="s">
        <v>107</v>
      </c>
    </row>
    <row r="10" spans="1:1" ht="14.5">
      <c r="A10" s="173" t="s">
        <v>108</v>
      </c>
    </row>
    <row r="11" spans="1:1" ht="8" customHeight="1">
      <c r="A11" s="173"/>
    </row>
    <row r="12" spans="1:1" ht="14.5">
      <c r="A12" s="173" t="s">
        <v>109</v>
      </c>
    </row>
    <row r="13" spans="1:1" ht="14.5">
      <c r="A13" s="173" t="s">
        <v>110</v>
      </c>
    </row>
    <row r="14" spans="1:1" ht="14.5">
      <c r="A14" s="173" t="s">
        <v>111</v>
      </c>
    </row>
    <row r="15" spans="1:1" ht="14.5">
      <c r="A15" s="173" t="s">
        <v>112</v>
      </c>
    </row>
    <row r="16" spans="1:1" ht="14.5">
      <c r="A16" s="173" t="s">
        <v>113</v>
      </c>
    </row>
    <row r="17" spans="1:1" ht="8.5" customHeight="1">
      <c r="A17" s="173"/>
    </row>
    <row r="18" spans="1:1" ht="14.5">
      <c r="A18" s="173" t="s">
        <v>114</v>
      </c>
    </row>
    <row r="19" spans="1:1" ht="14.5">
      <c r="A19" s="173" t="s">
        <v>115</v>
      </c>
    </row>
    <row r="20" spans="1:1" ht="14.5">
      <c r="A20" s="174" t="s">
        <v>116</v>
      </c>
    </row>
    <row r="21" spans="1:1" ht="14.5">
      <c r="A21" s="174" t="s">
        <v>117</v>
      </c>
    </row>
    <row r="22" spans="1:1" ht="14.5">
      <c r="A22" s="174" t="s">
        <v>118</v>
      </c>
    </row>
    <row r="23" spans="1:1" ht="14.5">
      <c r="A23" s="174" t="s">
        <v>119</v>
      </c>
    </row>
    <row r="24" spans="1:1" ht="14.5">
      <c r="A24" s="174" t="s">
        <v>120</v>
      </c>
    </row>
    <row r="25" spans="1:1" ht="8" customHeight="1">
      <c r="A25" s="173"/>
    </row>
    <row r="26" spans="1:1" ht="14.5">
      <c r="A26" s="173" t="s">
        <v>121</v>
      </c>
    </row>
    <row r="27" spans="1:1" ht="14.5">
      <c r="A27" s="173" t="s">
        <v>122</v>
      </c>
    </row>
    <row r="28" spans="1:1" ht="14.5">
      <c r="A28" s="173" t="s">
        <v>123</v>
      </c>
    </row>
    <row r="29" spans="1:1" ht="14.5">
      <c r="A29" s="173" t="s">
        <v>135</v>
      </c>
    </row>
    <row r="30" spans="1:1" ht="14.5">
      <c r="A30" s="173" t="s">
        <v>124</v>
      </c>
    </row>
    <row r="31" spans="1:1" ht="14.5">
      <c r="A31" s="173" t="s">
        <v>125</v>
      </c>
    </row>
    <row r="32" spans="1:1" ht="14.5">
      <c r="A32" s="173" t="s">
        <v>126</v>
      </c>
    </row>
    <row r="33" spans="1:1" ht="14.5">
      <c r="A33" s="173" t="s">
        <v>127</v>
      </c>
    </row>
    <row r="34" spans="1:1" ht="14.5">
      <c r="A34" s="173" t="s">
        <v>128</v>
      </c>
    </row>
  </sheetData>
  <sheetProtection password="F4C4" sheet="1" objects="1" scenarios="1"/>
  <phoneticPr fontId="16" type="noConversion"/>
  <pageMargins left="0.75" right="0.75" top="1" bottom="1" header="0.5" footer="0.5"/>
  <pageSetup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56"/>
  <sheetViews>
    <sheetView showGridLines="0" workbookViewId="0">
      <selection activeCell="B1" sqref="B1:K1"/>
    </sheetView>
  </sheetViews>
  <sheetFormatPr defaultRowHeight="12.5"/>
  <cols>
    <col min="3" max="3" width="2.453125" customWidth="1"/>
    <col min="4" max="4" width="5.54296875" customWidth="1"/>
    <col min="5" max="5" width="4.453125" customWidth="1"/>
    <col min="6" max="6" width="5.90625" customWidth="1"/>
    <col min="8" max="8" width="9.1796875" bestFit="1" customWidth="1"/>
    <col min="9" max="9" width="3.453125" customWidth="1"/>
    <col min="10" max="10" width="5.08984375" customWidth="1"/>
    <col min="11" max="11" width="7.08984375" customWidth="1"/>
    <col min="12" max="12" width="7.54296875" customWidth="1"/>
    <col min="13" max="13" width="3.7265625" customWidth="1"/>
    <col min="14" max="14" width="9.6328125" customWidth="1"/>
    <col min="15" max="15" width="3.36328125" customWidth="1"/>
    <col min="17" max="17" width="2.90625" customWidth="1"/>
    <col min="19" max="19" width="3.08984375" customWidth="1"/>
    <col min="20" max="20" width="9.54296875" customWidth="1"/>
    <col min="21" max="21" width="3" customWidth="1"/>
    <col min="23" max="23" width="3.26953125" customWidth="1"/>
    <col min="25" max="25" width="2.90625" customWidth="1"/>
    <col min="27" max="27" width="3" customWidth="1"/>
    <col min="29" max="29" width="3.26953125" customWidth="1"/>
    <col min="31" max="31" width="2.6328125" customWidth="1"/>
    <col min="33" max="33" width="2.6328125" customWidth="1"/>
    <col min="36" max="36" width="2.90625" customWidth="1"/>
    <col min="37" max="37" width="9.1796875" bestFit="1" customWidth="1"/>
    <col min="38" max="38" width="3.1796875" customWidth="1"/>
    <col min="39" max="39" width="9.1796875" bestFit="1" customWidth="1"/>
    <col min="40" max="40" width="3.1796875" customWidth="1"/>
    <col min="42" max="42" width="2.81640625" customWidth="1"/>
    <col min="44" max="44" width="2.81640625" customWidth="1"/>
    <col min="45" max="45" width="8.7265625" hidden="1" customWidth="1"/>
    <col min="46" max="47" width="9.1796875" hidden="1" customWidth="1"/>
    <col min="48" max="48" width="3.54296875" hidden="1" customWidth="1"/>
    <col min="49" max="49" width="9.1796875" hidden="1" customWidth="1"/>
    <col min="50" max="58" width="8.7265625" hidden="1" customWidth="1"/>
    <col min="59" max="63" width="9.1796875" hidden="1" customWidth="1"/>
  </cols>
  <sheetData>
    <row r="1" spans="1:63" ht="13">
      <c r="A1" s="2" t="s">
        <v>17</v>
      </c>
      <c r="B1" s="215" t="s">
        <v>72</v>
      </c>
      <c r="C1" s="215"/>
      <c r="D1" s="215"/>
      <c r="E1" s="215"/>
      <c r="F1" s="215"/>
      <c r="G1" s="215"/>
      <c r="H1" s="215"/>
      <c r="I1" s="215"/>
      <c r="J1" s="215"/>
      <c r="K1" s="215"/>
    </row>
    <row r="2" spans="1:63" ht="13">
      <c r="A2" s="75" t="s">
        <v>150</v>
      </c>
    </row>
    <row r="3" spans="1:63">
      <c r="A3" s="8" t="s">
        <v>19</v>
      </c>
      <c r="B3" s="8"/>
      <c r="C3" s="8"/>
    </row>
    <row r="4" spans="1:63" ht="13">
      <c r="A4" s="75" t="s">
        <v>160</v>
      </c>
      <c r="B4" s="75"/>
      <c r="C4" s="8"/>
    </row>
    <row r="6" spans="1:63" ht="13">
      <c r="A6" s="6" t="s">
        <v>75</v>
      </c>
      <c r="B6" s="6"/>
      <c r="C6" s="7"/>
    </row>
    <row r="7" spans="1:63" ht="13">
      <c r="A7" s="214" t="s">
        <v>76</v>
      </c>
      <c r="B7" s="214"/>
      <c r="C7" s="214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1"/>
    </row>
    <row r="8" spans="1:63" ht="13">
      <c r="A8" s="244"/>
      <c r="B8" s="244"/>
      <c r="C8" s="244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4"/>
      <c r="AL8" s="4"/>
      <c r="AM8" s="4"/>
      <c r="AN8" s="4"/>
      <c r="AO8" s="4"/>
      <c r="AP8" s="4"/>
      <c r="AQ8" s="4"/>
      <c r="AR8" s="4"/>
      <c r="AS8" s="1"/>
    </row>
    <row r="9" spans="1:63" ht="13">
      <c r="A9" s="244"/>
      <c r="B9" s="244"/>
      <c r="C9" s="244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4"/>
      <c r="AL9" s="4"/>
      <c r="AM9" s="4"/>
      <c r="AN9" s="4"/>
      <c r="AO9" s="4"/>
      <c r="AP9" s="4"/>
      <c r="AQ9" s="4"/>
      <c r="AR9" s="4"/>
      <c r="AS9" s="1"/>
    </row>
    <row r="10" spans="1:63">
      <c r="A10" s="246" t="s">
        <v>7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1"/>
    </row>
    <row r="11" spans="1:63">
      <c r="A11" s="40" t="s">
        <v>18</v>
      </c>
      <c r="B11" s="40"/>
      <c r="C11" s="40"/>
      <c r="D11" s="239" t="s">
        <v>42</v>
      </c>
      <c r="E11" s="240"/>
      <c r="F11" s="240"/>
      <c r="G11" s="240"/>
      <c r="H11" s="240"/>
      <c r="I11" s="12"/>
      <c r="J11" s="12"/>
      <c r="K11" s="12"/>
      <c r="L11" s="12"/>
      <c r="M11" s="22"/>
      <c r="N11" s="12"/>
      <c r="O11" s="12"/>
      <c r="P11" s="12"/>
      <c r="Q11" s="12"/>
      <c r="R11" s="12"/>
      <c r="S11" s="12"/>
      <c r="T11" s="13"/>
      <c r="U11" s="13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4"/>
      <c r="AL11" s="4"/>
      <c r="AM11" s="4"/>
      <c r="AN11" s="4"/>
      <c r="AO11" s="4"/>
      <c r="AP11" s="4"/>
      <c r="AQ11" s="4"/>
      <c r="AR11" s="4"/>
      <c r="AS11" s="1"/>
    </row>
    <row r="12" spans="1:63" ht="13" thickBo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96"/>
      <c r="AX12" t="s">
        <v>129</v>
      </c>
      <c r="AY12" t="s">
        <v>1</v>
      </c>
      <c r="BA12" t="s">
        <v>130</v>
      </c>
      <c r="BB12" t="s">
        <v>131</v>
      </c>
      <c r="BC12" t="s">
        <v>132</v>
      </c>
    </row>
    <row r="13" spans="1:63" ht="13" thickTop="1">
      <c r="A13" s="15"/>
      <c r="B13" s="16"/>
      <c r="C13" s="54"/>
      <c r="D13" s="237" t="s">
        <v>10</v>
      </c>
      <c r="E13" s="247" t="s">
        <v>11</v>
      </c>
      <c r="F13" s="216" t="s">
        <v>37</v>
      </c>
      <c r="G13" s="218"/>
      <c r="H13" s="218"/>
      <c r="I13" s="219"/>
      <c r="J13" s="216" t="s">
        <v>43</v>
      </c>
      <c r="K13" s="218"/>
      <c r="L13" s="218"/>
      <c r="M13" s="219"/>
      <c r="N13" s="49"/>
      <c r="O13" s="43"/>
      <c r="P13" s="241" t="s">
        <v>6</v>
      </c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7"/>
      <c r="AH13" s="216" t="s">
        <v>48</v>
      </c>
      <c r="AI13" s="242"/>
      <c r="AJ13" s="243"/>
      <c r="AK13" s="216" t="s">
        <v>51</v>
      </c>
      <c r="AL13" s="217"/>
      <c r="AM13" s="217"/>
      <c r="AN13" s="217"/>
      <c r="AO13" s="217"/>
      <c r="AP13" s="218"/>
      <c r="AQ13" s="218"/>
      <c r="AR13" s="219"/>
      <c r="AS13" s="97"/>
      <c r="AW13" t="s">
        <v>133</v>
      </c>
      <c r="AX13">
        <v>6.2E-2</v>
      </c>
      <c r="AY13">
        <v>1.4500000000000001E-2</v>
      </c>
      <c r="BA13">
        <v>3.0700000000000002E-2</v>
      </c>
      <c r="BB13">
        <v>6.9999999999999999E-4</v>
      </c>
      <c r="BC13">
        <v>1.3299999999999999E-2</v>
      </c>
    </row>
    <row r="14" spans="1:63">
      <c r="A14" s="17"/>
      <c r="B14" s="10"/>
      <c r="C14" s="55"/>
      <c r="D14" s="238"/>
      <c r="E14" s="248"/>
      <c r="F14" s="220" t="s">
        <v>38</v>
      </c>
      <c r="G14" s="223" t="s">
        <v>39</v>
      </c>
      <c r="H14" s="9"/>
      <c r="I14" s="63"/>
      <c r="J14" s="220" t="s">
        <v>38</v>
      </c>
      <c r="K14" s="223" t="s">
        <v>39</v>
      </c>
      <c r="L14" s="9"/>
      <c r="M14" s="63"/>
      <c r="N14" s="41"/>
      <c r="O14" s="44"/>
      <c r="P14" s="226"/>
      <c r="Q14" s="226"/>
      <c r="R14" s="226"/>
      <c r="S14" s="32"/>
      <c r="T14" s="24"/>
      <c r="U14" s="28"/>
      <c r="V14" s="24"/>
      <c r="W14" s="28"/>
      <c r="X14" s="33"/>
      <c r="Y14" s="33"/>
      <c r="Z14" s="24"/>
      <c r="AA14" s="28"/>
      <c r="AB14" s="24"/>
      <c r="AC14" s="28"/>
      <c r="AD14" s="33"/>
      <c r="AE14" s="33"/>
      <c r="AF14" s="24"/>
      <c r="AG14" s="28"/>
      <c r="AH14" s="87"/>
      <c r="AI14" s="11"/>
      <c r="AJ14" s="23"/>
      <c r="AK14" s="24"/>
      <c r="AL14" s="28"/>
      <c r="AM14" s="24"/>
      <c r="AN14" s="28"/>
      <c r="AO14" s="24"/>
      <c r="AP14" s="28"/>
      <c r="AQ14" s="24"/>
      <c r="AR14" s="28"/>
      <c r="AS14" s="98"/>
      <c r="AW14" t="s">
        <v>134</v>
      </c>
      <c r="AX14">
        <v>6.2E-2</v>
      </c>
      <c r="AY14">
        <v>1.4500000000000001E-2</v>
      </c>
      <c r="BH14" s="249" t="s">
        <v>95</v>
      </c>
      <c r="BI14" s="249"/>
      <c r="BJ14" s="249"/>
      <c r="BK14" s="249"/>
    </row>
    <row r="15" spans="1:63">
      <c r="A15" s="229"/>
      <c r="B15" s="230"/>
      <c r="C15" s="231"/>
      <c r="D15" s="238"/>
      <c r="E15" s="248"/>
      <c r="F15" s="221"/>
      <c r="G15" s="224"/>
      <c r="H15" s="11"/>
      <c r="I15" s="23"/>
      <c r="J15" s="221"/>
      <c r="K15" s="224"/>
      <c r="L15" s="11"/>
      <c r="M15" s="23"/>
      <c r="N15" s="42" t="s">
        <v>12</v>
      </c>
      <c r="O15" s="45"/>
      <c r="P15" s="232" t="s">
        <v>2</v>
      </c>
      <c r="Q15" s="232"/>
      <c r="R15" s="232"/>
      <c r="S15" s="33"/>
      <c r="T15" s="24"/>
      <c r="U15" s="29"/>
      <c r="V15" s="24"/>
      <c r="W15" s="29"/>
      <c r="X15" s="33"/>
      <c r="Y15" s="33"/>
      <c r="Z15" s="24"/>
      <c r="AA15" s="29"/>
      <c r="AB15" s="24"/>
      <c r="AC15" s="29"/>
      <c r="AD15" s="233" t="s">
        <v>47</v>
      </c>
      <c r="AE15" s="234"/>
      <c r="AF15" s="86" t="s">
        <v>46</v>
      </c>
      <c r="AG15" s="29"/>
      <c r="AH15" s="88" t="s">
        <v>49</v>
      </c>
      <c r="AI15" s="11"/>
      <c r="AJ15" s="23"/>
      <c r="AK15" s="24"/>
      <c r="AL15" s="29"/>
      <c r="AM15" s="24"/>
      <c r="AN15" s="29"/>
      <c r="AO15" s="24"/>
      <c r="AP15" s="29"/>
      <c r="AQ15" s="24"/>
      <c r="AR15" s="29"/>
      <c r="AS15" s="98"/>
      <c r="BH15">
        <v>6.2E-2</v>
      </c>
      <c r="BI15">
        <v>1.4500000000000001E-2</v>
      </c>
      <c r="BJ15">
        <v>6.0000000000000001E-3</v>
      </c>
      <c r="BK15">
        <v>3.6784999999999998E-2</v>
      </c>
    </row>
    <row r="16" spans="1:63" ht="15.5" customHeight="1">
      <c r="A16" s="235" t="s">
        <v>26</v>
      </c>
      <c r="B16" s="232"/>
      <c r="C16" s="236"/>
      <c r="D16" s="238"/>
      <c r="E16" s="248"/>
      <c r="F16" s="222"/>
      <c r="G16" s="225"/>
      <c r="H16" s="72" t="s">
        <v>40</v>
      </c>
      <c r="I16" s="64"/>
      <c r="J16" s="222"/>
      <c r="K16" s="225"/>
      <c r="L16" s="72" t="s">
        <v>40</v>
      </c>
      <c r="M16" s="64"/>
      <c r="N16" s="93" t="s">
        <v>13</v>
      </c>
      <c r="O16" s="46"/>
      <c r="P16" s="81" t="s">
        <v>0</v>
      </c>
      <c r="Q16" s="82"/>
      <c r="R16" s="83" t="s">
        <v>1</v>
      </c>
      <c r="S16" s="34"/>
      <c r="T16" s="85" t="s">
        <v>3</v>
      </c>
      <c r="U16" s="31"/>
      <c r="V16" s="72" t="s">
        <v>4</v>
      </c>
      <c r="W16" s="29"/>
      <c r="X16" s="72" t="s">
        <v>16</v>
      </c>
      <c r="Y16" s="30"/>
      <c r="Z16" s="85" t="s">
        <v>5</v>
      </c>
      <c r="AA16" s="29"/>
      <c r="AB16" s="85" t="s">
        <v>44</v>
      </c>
      <c r="AC16" s="29"/>
      <c r="AD16" s="227" t="s">
        <v>45</v>
      </c>
      <c r="AE16" s="228"/>
      <c r="AF16" s="227" t="s">
        <v>45</v>
      </c>
      <c r="AG16" s="228"/>
      <c r="AH16" s="89" t="s">
        <v>50</v>
      </c>
      <c r="AI16" s="84" t="s">
        <v>40</v>
      </c>
      <c r="AJ16" s="21"/>
      <c r="AK16" s="85" t="s">
        <v>0</v>
      </c>
      <c r="AL16" s="29"/>
      <c r="AM16" s="85" t="s">
        <v>1</v>
      </c>
      <c r="AN16" s="29"/>
      <c r="AO16" s="85" t="s">
        <v>15</v>
      </c>
      <c r="AP16" s="29"/>
      <c r="AQ16" s="85" t="s">
        <v>16</v>
      </c>
      <c r="AR16" s="29"/>
      <c r="AS16" s="98"/>
      <c r="AT16" t="s">
        <v>87</v>
      </c>
      <c r="AU16" t="s">
        <v>88</v>
      </c>
      <c r="AW16" t="s">
        <v>89</v>
      </c>
      <c r="AX16" t="s">
        <v>0</v>
      </c>
      <c r="AY16" t="s">
        <v>1</v>
      </c>
      <c r="AZ16" t="s">
        <v>3</v>
      </c>
      <c r="BA16" t="s">
        <v>4</v>
      </c>
      <c r="BB16" t="s">
        <v>16</v>
      </c>
      <c r="BC16" t="s">
        <v>5</v>
      </c>
      <c r="BD16" t="s">
        <v>92</v>
      </c>
      <c r="BE16" t="s">
        <v>91</v>
      </c>
      <c r="BF16" t="s">
        <v>90</v>
      </c>
      <c r="BG16" t="s">
        <v>93</v>
      </c>
      <c r="BH16" t="s">
        <v>0</v>
      </c>
      <c r="BI16" t="s">
        <v>1</v>
      </c>
      <c r="BJ16" t="s">
        <v>15</v>
      </c>
      <c r="BK16" t="s">
        <v>16</v>
      </c>
    </row>
    <row r="17" spans="1:63" ht="15">
      <c r="A17" s="60" t="s">
        <v>77</v>
      </c>
      <c r="B17" s="102"/>
      <c r="C17" s="20"/>
      <c r="D17" s="193"/>
      <c r="E17" s="193"/>
      <c r="F17" s="176">
        <v>40</v>
      </c>
      <c r="G17" s="195">
        <v>18.5</v>
      </c>
      <c r="H17" s="106">
        <f>F17*G17</f>
        <v>740</v>
      </c>
      <c r="I17" s="35" t="str">
        <f t="shared" ref="I17:I27" si="0">IF(OR(H17="",H17=AT17),"","*")</f>
        <v/>
      </c>
      <c r="J17" s="77"/>
      <c r="K17" s="80"/>
      <c r="L17" s="66"/>
      <c r="M17" s="35" t="str">
        <f t="shared" ref="M17:M27" si="1">IF(OR(L17="",L17=AU17),"","*")</f>
        <v/>
      </c>
      <c r="N17" s="138">
        <f t="shared" ref="N17:N26" si="2">H17+L17</f>
        <v>740</v>
      </c>
      <c r="O17" s="35" t="str">
        <f t="shared" ref="O17:O27" si="3">IF(OR(N17="",N17=AW17),"","*")</f>
        <v/>
      </c>
      <c r="P17" s="133">
        <f>N17*0.062</f>
        <v>45.88</v>
      </c>
      <c r="Q17" s="35" t="str">
        <f t="shared" ref="Q17:Q27" si="4">IF(OR(P17="",P17=AX17),"","*")</f>
        <v/>
      </c>
      <c r="R17" s="134">
        <f t="shared" ref="R17:R26" si="5">N17*0.0145</f>
        <v>10.73</v>
      </c>
      <c r="S17" s="35" t="str">
        <f t="shared" ref="S17:S27" si="6">IF(OR(R17="",R17=AY17),"","*")</f>
        <v/>
      </c>
      <c r="T17" s="52"/>
      <c r="U17" s="35" t="str">
        <f t="shared" ref="U17:U27" si="7">IF(OR(T17="",T17=AZ17),"","*")</f>
        <v/>
      </c>
      <c r="V17" s="25"/>
      <c r="W17" s="35" t="str">
        <f t="shared" ref="W17:W27" si="8">IF(OR(V17="",V17=BA17),"","*")</f>
        <v/>
      </c>
      <c r="X17" s="25"/>
      <c r="Y17" s="35" t="str">
        <f t="shared" ref="Y17:Y27" si="9">IF(OR(X17="",X17=BB17),"","*")</f>
        <v/>
      </c>
      <c r="Z17" s="25"/>
      <c r="AA17" s="35" t="str">
        <f t="shared" ref="AA17:AA27" si="10">IF(OR(Z17="",Z17=BC17),"","*")</f>
        <v/>
      </c>
      <c r="AB17" s="25"/>
      <c r="AC17" s="35" t="str">
        <f t="shared" ref="AC17:AC27" si="11">IF(OR(AB17="",AB17=BD17),"","*")</f>
        <v/>
      </c>
      <c r="AD17" s="25"/>
      <c r="AE17" s="35" t="str">
        <f t="shared" ref="AE17:AE27" si="12">IF(OR(AD17="",AD17=BE17),"","*")</f>
        <v/>
      </c>
      <c r="AF17" s="25"/>
      <c r="AG17" s="35" t="str">
        <f t="shared" ref="AG17:AG27" si="13">IF(OR(AF17="",AF17=BF17),"","*")</f>
        <v/>
      </c>
      <c r="AH17" s="108"/>
      <c r="AI17" s="3"/>
      <c r="AJ17" s="35" t="str">
        <f t="shared" ref="AJ17:AJ27" si="14">IF(OR(AI17="",AI17=BG17),"","*")</f>
        <v/>
      </c>
      <c r="AK17" s="134">
        <f t="shared" ref="AK17:AK26" si="15">N17</f>
        <v>740</v>
      </c>
      <c r="AL17" s="35" t="str">
        <f t="shared" ref="AL17:AL27" si="16">IF(OR(AK17="",AK17=BH17),"","*")</f>
        <v/>
      </c>
      <c r="AM17" s="134">
        <f t="shared" ref="AM17:AM26" si="17">N17</f>
        <v>740</v>
      </c>
      <c r="AN17" s="35" t="str">
        <f t="shared" ref="AN17:AN27" si="18">IF(OR(AM17="",AM17=BI17),"","*")</f>
        <v/>
      </c>
      <c r="AO17" s="25"/>
      <c r="AP17" s="35" t="str">
        <f t="shared" ref="AP17:AP27" si="19">IF(OR(AO17="",AO17=BJ17),"","*")</f>
        <v/>
      </c>
      <c r="AQ17" s="25"/>
      <c r="AR17" s="35" t="str">
        <f t="shared" ref="AR17:AR27" si="20">IF(OR(AQ17="",AQ17=BK17),"","*")</f>
        <v/>
      </c>
      <c r="AS17" s="99"/>
      <c r="AT17" s="123">
        <f>18.5*40</f>
        <v>740</v>
      </c>
      <c r="AU17" s="123"/>
      <c r="AV17" s="123"/>
      <c r="AW17" s="123">
        <f>AT17+AU17</f>
        <v>740</v>
      </c>
      <c r="AX17" s="124">
        <f t="shared" ref="AX17:AX26" si="21">AW17*$AX$13</f>
        <v>45.88</v>
      </c>
      <c r="AY17" s="125">
        <f t="shared" ref="AY17:AY26" si="22">AW17*$AY$13</f>
        <v>10.73</v>
      </c>
      <c r="AZ17" s="126">
        <v>82</v>
      </c>
      <c r="BA17" s="125">
        <f t="shared" ref="BA17:BA26" si="23">AW17*$BA$13</f>
        <v>22.72</v>
      </c>
      <c r="BB17" s="125">
        <f t="shared" ref="BB17:BB26" si="24">AW17*$BB$13</f>
        <v>0.52</v>
      </c>
      <c r="BC17" s="125">
        <f t="shared" ref="BC17:BC26" si="25">AW17*$BC$13</f>
        <v>9.84</v>
      </c>
      <c r="BD17" s="125">
        <v>20</v>
      </c>
      <c r="BE17" s="125">
        <v>0.85</v>
      </c>
      <c r="BF17" s="125">
        <v>1.65</v>
      </c>
      <c r="BG17" s="127">
        <f t="shared" ref="BG17:BG26" si="26">AW17-SUM(AX17:BF17)</f>
        <v>545.80999999999995</v>
      </c>
      <c r="BH17" s="125">
        <f>AW17</f>
        <v>740</v>
      </c>
      <c r="BI17" s="125">
        <f>AW17</f>
        <v>740</v>
      </c>
      <c r="BJ17" s="125">
        <f>AW17</f>
        <v>740</v>
      </c>
      <c r="BK17" s="125">
        <f>AW17</f>
        <v>740</v>
      </c>
    </row>
    <row r="18" spans="1:63" ht="15">
      <c r="A18" s="18" t="s">
        <v>78</v>
      </c>
      <c r="B18" s="103"/>
      <c r="C18" s="20"/>
      <c r="D18" s="193"/>
      <c r="E18" s="193"/>
      <c r="F18" s="176">
        <v>40</v>
      </c>
      <c r="G18" s="195">
        <v>19.25</v>
      </c>
      <c r="H18" s="109">
        <f>F18*G18</f>
        <v>770</v>
      </c>
      <c r="I18" s="35" t="str">
        <f t="shared" si="0"/>
        <v/>
      </c>
      <c r="J18" s="78">
        <v>10</v>
      </c>
      <c r="K18" s="94">
        <f>ROUND(G18*1.5,2)</f>
        <v>28.88</v>
      </c>
      <c r="L18" s="68">
        <f>J18*K18</f>
        <v>288.8</v>
      </c>
      <c r="M18" s="35" t="str">
        <f t="shared" si="1"/>
        <v/>
      </c>
      <c r="N18" s="138">
        <f t="shared" si="2"/>
        <v>1058.8</v>
      </c>
      <c r="O18" s="36" t="str">
        <f t="shared" si="3"/>
        <v/>
      </c>
      <c r="P18" s="133">
        <f t="shared" ref="P18:P26" si="27">N18*0.062</f>
        <v>65.650000000000006</v>
      </c>
      <c r="Q18" s="36" t="str">
        <f t="shared" si="4"/>
        <v/>
      </c>
      <c r="R18" s="134">
        <f t="shared" si="5"/>
        <v>15.35</v>
      </c>
      <c r="S18" s="36" t="str">
        <f t="shared" si="6"/>
        <v/>
      </c>
      <c r="T18" s="53"/>
      <c r="U18" s="36" t="str">
        <f t="shared" si="7"/>
        <v/>
      </c>
      <c r="V18" s="26"/>
      <c r="W18" s="36" t="str">
        <f t="shared" si="8"/>
        <v/>
      </c>
      <c r="X18" s="26"/>
      <c r="Y18" s="36" t="str">
        <f t="shared" si="9"/>
        <v/>
      </c>
      <c r="Z18" s="26"/>
      <c r="AA18" s="36" t="str">
        <f t="shared" si="10"/>
        <v/>
      </c>
      <c r="AB18" s="26"/>
      <c r="AC18" s="36" t="str">
        <f t="shared" si="11"/>
        <v/>
      </c>
      <c r="AD18" s="26"/>
      <c r="AE18" s="36" t="str">
        <f t="shared" si="12"/>
        <v/>
      </c>
      <c r="AF18" s="26"/>
      <c r="AG18" s="36" t="str">
        <f t="shared" si="13"/>
        <v/>
      </c>
      <c r="AH18" s="90"/>
      <c r="AI18" s="92"/>
      <c r="AJ18" s="36" t="str">
        <f t="shared" si="14"/>
        <v/>
      </c>
      <c r="AK18" s="134">
        <f t="shared" si="15"/>
        <v>1058.8</v>
      </c>
      <c r="AL18" s="36" t="str">
        <f t="shared" si="16"/>
        <v/>
      </c>
      <c r="AM18" s="134">
        <f t="shared" si="17"/>
        <v>1058.8</v>
      </c>
      <c r="AN18" s="36" t="str">
        <f t="shared" si="18"/>
        <v/>
      </c>
      <c r="AO18" s="26"/>
      <c r="AP18" s="36" t="str">
        <f t="shared" si="19"/>
        <v/>
      </c>
      <c r="AQ18" s="26"/>
      <c r="AR18" s="36" t="str">
        <f t="shared" si="20"/>
        <v/>
      </c>
      <c r="AS18" s="99"/>
      <c r="AT18" s="123">
        <f>19.25*40</f>
        <v>770</v>
      </c>
      <c r="AU18" s="123">
        <f>ROUND(19.25*1.5,2)*10</f>
        <v>288.8</v>
      </c>
      <c r="AV18" s="123"/>
      <c r="AW18" s="123">
        <f t="shared" ref="AW18:AW26" si="28">AT18+AU18</f>
        <v>1058.8</v>
      </c>
      <c r="AX18" s="124">
        <f t="shared" si="21"/>
        <v>65.650000000000006</v>
      </c>
      <c r="AY18" s="124">
        <f t="shared" si="22"/>
        <v>15.35</v>
      </c>
      <c r="AZ18" s="128">
        <v>159</v>
      </c>
      <c r="BA18" s="125">
        <f t="shared" si="23"/>
        <v>32.51</v>
      </c>
      <c r="BB18" s="125">
        <f t="shared" si="24"/>
        <v>0.74</v>
      </c>
      <c r="BC18" s="125">
        <f t="shared" si="25"/>
        <v>14.08</v>
      </c>
      <c r="BD18" s="124">
        <v>50</v>
      </c>
      <c r="BE18" s="124">
        <v>0.85</v>
      </c>
      <c r="BF18" s="124">
        <v>1.65</v>
      </c>
      <c r="BG18" s="127">
        <f t="shared" si="26"/>
        <v>718.97</v>
      </c>
      <c r="BH18" s="124">
        <f t="shared" ref="BH18:BH26" si="29">AW18</f>
        <v>1058.8</v>
      </c>
      <c r="BI18" s="124">
        <f t="shared" ref="BI18:BI26" si="30">AW18</f>
        <v>1058.8</v>
      </c>
      <c r="BJ18" s="124">
        <f t="shared" ref="BJ18:BJ26" si="31">AW18</f>
        <v>1058.8</v>
      </c>
      <c r="BK18" s="124">
        <f t="shared" ref="BK18:BK26" si="32">AW18</f>
        <v>1058.8</v>
      </c>
    </row>
    <row r="19" spans="1:63" ht="15">
      <c r="A19" s="18" t="s">
        <v>79</v>
      </c>
      <c r="B19" s="103"/>
      <c r="C19" s="20"/>
      <c r="D19" s="193"/>
      <c r="E19" s="193"/>
      <c r="F19" s="176">
        <v>38.5</v>
      </c>
      <c r="G19" s="195">
        <v>17.8</v>
      </c>
      <c r="H19" s="109">
        <f>F19*G19</f>
        <v>685.3</v>
      </c>
      <c r="I19" s="35" t="str">
        <f t="shared" si="0"/>
        <v/>
      </c>
      <c r="J19" s="78"/>
      <c r="K19" s="94"/>
      <c r="L19" s="67"/>
      <c r="M19" s="35" t="str">
        <f t="shared" si="1"/>
        <v/>
      </c>
      <c r="N19" s="138">
        <f t="shared" si="2"/>
        <v>685.3</v>
      </c>
      <c r="O19" s="36" t="str">
        <f t="shared" si="3"/>
        <v/>
      </c>
      <c r="P19" s="133">
        <f t="shared" si="27"/>
        <v>42.49</v>
      </c>
      <c r="Q19" s="36" t="str">
        <f t="shared" si="4"/>
        <v/>
      </c>
      <c r="R19" s="134">
        <f t="shared" si="5"/>
        <v>9.94</v>
      </c>
      <c r="S19" s="36" t="str">
        <f t="shared" si="6"/>
        <v/>
      </c>
      <c r="T19" s="53"/>
      <c r="U19" s="36" t="str">
        <f t="shared" si="7"/>
        <v/>
      </c>
      <c r="V19" s="26"/>
      <c r="W19" s="36" t="str">
        <f t="shared" si="8"/>
        <v/>
      </c>
      <c r="X19" s="26"/>
      <c r="Y19" s="36" t="str">
        <f t="shared" si="9"/>
        <v/>
      </c>
      <c r="Z19" s="26"/>
      <c r="AA19" s="36" t="str">
        <f t="shared" si="10"/>
        <v/>
      </c>
      <c r="AB19" s="26"/>
      <c r="AC19" s="36" t="str">
        <f t="shared" si="11"/>
        <v/>
      </c>
      <c r="AD19" s="26"/>
      <c r="AE19" s="36" t="str">
        <f t="shared" si="12"/>
        <v/>
      </c>
      <c r="AF19" s="26"/>
      <c r="AG19" s="36" t="str">
        <f t="shared" si="13"/>
        <v/>
      </c>
      <c r="AH19" s="90"/>
      <c r="AI19" s="92"/>
      <c r="AJ19" s="36" t="str">
        <f t="shared" si="14"/>
        <v/>
      </c>
      <c r="AK19" s="134">
        <f t="shared" si="15"/>
        <v>685.3</v>
      </c>
      <c r="AL19" s="36" t="str">
        <f t="shared" si="16"/>
        <v/>
      </c>
      <c r="AM19" s="134">
        <f t="shared" si="17"/>
        <v>685.3</v>
      </c>
      <c r="AN19" s="36" t="str">
        <f t="shared" si="18"/>
        <v/>
      </c>
      <c r="AO19" s="26"/>
      <c r="AP19" s="36" t="str">
        <f t="shared" si="19"/>
        <v/>
      </c>
      <c r="AQ19" s="26"/>
      <c r="AR19" s="36" t="str">
        <f t="shared" si="20"/>
        <v/>
      </c>
      <c r="AS19" s="99"/>
      <c r="AT19" s="123">
        <f>17.8*38.5</f>
        <v>685.3</v>
      </c>
      <c r="AU19" s="123"/>
      <c r="AV19" s="123"/>
      <c r="AW19" s="123">
        <f t="shared" si="28"/>
        <v>685.3</v>
      </c>
      <c r="AX19" s="124">
        <f t="shared" si="21"/>
        <v>42.49</v>
      </c>
      <c r="AY19" s="124">
        <f t="shared" si="22"/>
        <v>9.94</v>
      </c>
      <c r="AZ19" s="128">
        <v>33</v>
      </c>
      <c r="BA19" s="125">
        <f t="shared" si="23"/>
        <v>21.04</v>
      </c>
      <c r="BB19" s="125">
        <f t="shared" si="24"/>
        <v>0.48</v>
      </c>
      <c r="BC19" s="125">
        <f t="shared" si="25"/>
        <v>9.11</v>
      </c>
      <c r="BD19" s="124">
        <v>40</v>
      </c>
      <c r="BE19" s="124">
        <v>0</v>
      </c>
      <c r="BF19" s="124">
        <v>1.65</v>
      </c>
      <c r="BG19" s="127">
        <f t="shared" si="26"/>
        <v>527.59</v>
      </c>
      <c r="BH19" s="124">
        <f t="shared" si="29"/>
        <v>685.3</v>
      </c>
      <c r="BI19" s="124">
        <f t="shared" si="30"/>
        <v>685.3</v>
      </c>
      <c r="BJ19" s="124">
        <f t="shared" si="31"/>
        <v>685.3</v>
      </c>
      <c r="BK19" s="124">
        <f t="shared" si="32"/>
        <v>685.3</v>
      </c>
    </row>
    <row r="20" spans="1:63" ht="15">
      <c r="A20" s="18" t="s">
        <v>80</v>
      </c>
      <c r="B20" s="103"/>
      <c r="C20" s="20"/>
      <c r="D20" s="193"/>
      <c r="E20" s="193"/>
      <c r="F20" s="176">
        <v>40</v>
      </c>
      <c r="G20" s="195">
        <v>20.7</v>
      </c>
      <c r="H20" s="113">
        <f>F20*G20</f>
        <v>828</v>
      </c>
      <c r="I20" s="35" t="str">
        <f t="shared" si="0"/>
        <v/>
      </c>
      <c r="J20" s="78">
        <v>7</v>
      </c>
      <c r="K20" s="94">
        <f>ROUND(G20*1.5,2)</f>
        <v>31.05</v>
      </c>
      <c r="L20" s="74">
        <f>J20*K20</f>
        <v>217.35</v>
      </c>
      <c r="M20" s="35" t="str">
        <f t="shared" si="1"/>
        <v/>
      </c>
      <c r="N20" s="138">
        <f t="shared" si="2"/>
        <v>1045.3499999999999</v>
      </c>
      <c r="O20" s="36" t="str">
        <f t="shared" si="3"/>
        <v/>
      </c>
      <c r="P20" s="133">
        <f t="shared" si="27"/>
        <v>64.81</v>
      </c>
      <c r="Q20" s="36" t="str">
        <f t="shared" si="4"/>
        <v/>
      </c>
      <c r="R20" s="134">
        <f t="shared" si="5"/>
        <v>15.16</v>
      </c>
      <c r="S20" s="36" t="str">
        <f t="shared" si="6"/>
        <v/>
      </c>
      <c r="T20" s="53"/>
      <c r="U20" s="36" t="str">
        <f t="shared" si="7"/>
        <v/>
      </c>
      <c r="V20" s="26"/>
      <c r="W20" s="36" t="str">
        <f t="shared" si="8"/>
        <v/>
      </c>
      <c r="X20" s="26"/>
      <c r="Y20" s="36" t="str">
        <f t="shared" si="9"/>
        <v/>
      </c>
      <c r="Z20" s="26"/>
      <c r="AA20" s="36" t="str">
        <f t="shared" si="10"/>
        <v/>
      </c>
      <c r="AB20" s="26"/>
      <c r="AC20" s="36" t="str">
        <f t="shared" si="11"/>
        <v/>
      </c>
      <c r="AD20" s="26"/>
      <c r="AE20" s="36" t="str">
        <f t="shared" si="12"/>
        <v/>
      </c>
      <c r="AF20" s="26"/>
      <c r="AG20" s="36" t="str">
        <f t="shared" si="13"/>
        <v/>
      </c>
      <c r="AH20" s="90"/>
      <c r="AI20" s="92"/>
      <c r="AJ20" s="36" t="str">
        <f t="shared" si="14"/>
        <v/>
      </c>
      <c r="AK20" s="134">
        <f t="shared" si="15"/>
        <v>1045.3499999999999</v>
      </c>
      <c r="AL20" s="36" t="str">
        <f t="shared" si="16"/>
        <v/>
      </c>
      <c r="AM20" s="134">
        <f t="shared" si="17"/>
        <v>1045.3499999999999</v>
      </c>
      <c r="AN20" s="36" t="str">
        <f t="shared" si="18"/>
        <v/>
      </c>
      <c r="AO20" s="26"/>
      <c r="AP20" s="36" t="str">
        <f t="shared" si="19"/>
        <v/>
      </c>
      <c r="AQ20" s="26"/>
      <c r="AR20" s="36" t="str">
        <f t="shared" si="20"/>
        <v/>
      </c>
      <c r="AS20" s="99"/>
      <c r="AT20" s="123">
        <f>20.7*40</f>
        <v>828</v>
      </c>
      <c r="AU20" s="123">
        <f>ROUND(20.7*1.5,2)*7</f>
        <v>217.35</v>
      </c>
      <c r="AV20" s="123"/>
      <c r="AW20" s="123">
        <f t="shared" si="28"/>
        <v>1045.3499999999999</v>
      </c>
      <c r="AX20" s="124">
        <f t="shared" si="21"/>
        <v>64.81</v>
      </c>
      <c r="AY20" s="124">
        <f t="shared" si="22"/>
        <v>15.16</v>
      </c>
      <c r="AZ20" s="128">
        <v>71</v>
      </c>
      <c r="BA20" s="125">
        <f t="shared" si="23"/>
        <v>32.090000000000003</v>
      </c>
      <c r="BB20" s="125">
        <f t="shared" si="24"/>
        <v>0.73</v>
      </c>
      <c r="BC20" s="125">
        <f t="shared" si="25"/>
        <v>13.9</v>
      </c>
      <c r="BD20" s="124">
        <v>60</v>
      </c>
      <c r="BE20" s="124">
        <v>0.85</v>
      </c>
      <c r="BF20" s="124">
        <v>1.65</v>
      </c>
      <c r="BG20" s="127">
        <f t="shared" si="26"/>
        <v>785.16</v>
      </c>
      <c r="BH20" s="124">
        <f t="shared" si="29"/>
        <v>1045.3499999999999</v>
      </c>
      <c r="BI20" s="124">
        <f t="shared" si="30"/>
        <v>1045.3499999999999</v>
      </c>
      <c r="BJ20" s="124">
        <f t="shared" si="31"/>
        <v>1045.3499999999999</v>
      </c>
      <c r="BK20" s="124">
        <f t="shared" si="32"/>
        <v>1045.3499999999999</v>
      </c>
    </row>
    <row r="21" spans="1:63" ht="15">
      <c r="A21" s="18" t="s">
        <v>81</v>
      </c>
      <c r="B21" s="103"/>
      <c r="C21" s="20"/>
      <c r="D21" s="193"/>
      <c r="E21" s="193"/>
      <c r="F21" s="176">
        <v>40</v>
      </c>
      <c r="G21" s="195">
        <v>23.8</v>
      </c>
      <c r="H21" s="113">
        <f>F21*G21</f>
        <v>952</v>
      </c>
      <c r="I21" s="35" t="str">
        <f t="shared" si="0"/>
        <v/>
      </c>
      <c r="J21" s="78"/>
      <c r="K21" s="94"/>
      <c r="L21" s="74"/>
      <c r="M21" s="35" t="str">
        <f t="shared" si="1"/>
        <v/>
      </c>
      <c r="N21" s="138">
        <f t="shared" si="2"/>
        <v>952</v>
      </c>
      <c r="O21" s="36" t="str">
        <f t="shared" si="3"/>
        <v/>
      </c>
      <c r="P21" s="133">
        <f t="shared" si="27"/>
        <v>59.02</v>
      </c>
      <c r="Q21" s="36" t="str">
        <f t="shared" si="4"/>
        <v/>
      </c>
      <c r="R21" s="134">
        <f t="shared" si="5"/>
        <v>13.8</v>
      </c>
      <c r="S21" s="36" t="str">
        <f t="shared" si="6"/>
        <v/>
      </c>
      <c r="T21" s="53"/>
      <c r="U21" s="36" t="str">
        <f t="shared" si="7"/>
        <v/>
      </c>
      <c r="V21" s="26"/>
      <c r="W21" s="36" t="str">
        <f t="shared" si="8"/>
        <v/>
      </c>
      <c r="X21" s="26"/>
      <c r="Y21" s="36" t="str">
        <f t="shared" si="9"/>
        <v/>
      </c>
      <c r="Z21" s="26"/>
      <c r="AA21" s="36" t="str">
        <f t="shared" si="10"/>
        <v/>
      </c>
      <c r="AB21" s="26"/>
      <c r="AC21" s="36" t="str">
        <f t="shared" si="11"/>
        <v/>
      </c>
      <c r="AD21" s="26"/>
      <c r="AE21" s="36" t="str">
        <f t="shared" si="12"/>
        <v/>
      </c>
      <c r="AF21" s="26"/>
      <c r="AG21" s="36" t="str">
        <f t="shared" si="13"/>
        <v/>
      </c>
      <c r="AH21" s="90"/>
      <c r="AI21" s="92"/>
      <c r="AJ21" s="36" t="str">
        <f t="shared" si="14"/>
        <v/>
      </c>
      <c r="AK21" s="134">
        <f t="shared" si="15"/>
        <v>952</v>
      </c>
      <c r="AL21" s="36" t="str">
        <f t="shared" si="16"/>
        <v/>
      </c>
      <c r="AM21" s="134">
        <f t="shared" si="17"/>
        <v>952</v>
      </c>
      <c r="AN21" s="36" t="str">
        <f t="shared" si="18"/>
        <v/>
      </c>
      <c r="AO21" s="26"/>
      <c r="AP21" s="36" t="str">
        <f t="shared" si="19"/>
        <v/>
      </c>
      <c r="AQ21" s="26"/>
      <c r="AR21" s="36" t="str">
        <f t="shared" si="20"/>
        <v/>
      </c>
      <c r="AS21" s="99"/>
      <c r="AT21" s="123">
        <f>23.8*40</f>
        <v>952</v>
      </c>
      <c r="AU21" s="123"/>
      <c r="AV21" s="123"/>
      <c r="AW21" s="123">
        <f t="shared" si="28"/>
        <v>952</v>
      </c>
      <c r="AX21" s="124">
        <f t="shared" si="21"/>
        <v>59.02</v>
      </c>
      <c r="AY21" s="124">
        <f t="shared" si="22"/>
        <v>13.8</v>
      </c>
      <c r="AZ21" s="128">
        <v>103</v>
      </c>
      <c r="BA21" s="125">
        <f t="shared" si="23"/>
        <v>29.23</v>
      </c>
      <c r="BB21" s="125">
        <f t="shared" si="24"/>
        <v>0.67</v>
      </c>
      <c r="BC21" s="125">
        <f t="shared" si="25"/>
        <v>12.66</v>
      </c>
      <c r="BD21" s="124">
        <v>20</v>
      </c>
      <c r="BE21" s="124">
        <v>0.85</v>
      </c>
      <c r="BF21" s="124">
        <v>1.65</v>
      </c>
      <c r="BG21" s="127">
        <f t="shared" si="26"/>
        <v>711.12</v>
      </c>
      <c r="BH21" s="124">
        <f t="shared" si="29"/>
        <v>952</v>
      </c>
      <c r="BI21" s="124">
        <f t="shared" si="30"/>
        <v>952</v>
      </c>
      <c r="BJ21" s="124">
        <f t="shared" si="31"/>
        <v>952</v>
      </c>
      <c r="BK21" s="124">
        <f t="shared" si="32"/>
        <v>952</v>
      </c>
    </row>
    <row r="22" spans="1:63" ht="15">
      <c r="A22" s="18" t="s">
        <v>82</v>
      </c>
      <c r="B22" s="103"/>
      <c r="C22" s="20"/>
      <c r="D22" s="193"/>
      <c r="E22" s="193"/>
      <c r="F22" s="176">
        <v>40</v>
      </c>
      <c r="G22" s="71"/>
      <c r="H22" s="109">
        <v>800</v>
      </c>
      <c r="I22" s="35" t="str">
        <f t="shared" si="0"/>
        <v/>
      </c>
      <c r="J22" s="136">
        <v>1.25</v>
      </c>
      <c r="K22" s="137">
        <f>ROUND(H22/40,2)*1.5</f>
        <v>30</v>
      </c>
      <c r="L22" s="76">
        <f>J22*K22</f>
        <v>37.5</v>
      </c>
      <c r="M22" s="35" t="str">
        <f t="shared" si="1"/>
        <v/>
      </c>
      <c r="N22" s="138">
        <f t="shared" si="2"/>
        <v>837.5</v>
      </c>
      <c r="O22" s="36" t="str">
        <f t="shared" si="3"/>
        <v/>
      </c>
      <c r="P22" s="133">
        <f t="shared" si="27"/>
        <v>51.93</v>
      </c>
      <c r="Q22" s="36" t="str">
        <f t="shared" si="4"/>
        <v/>
      </c>
      <c r="R22" s="134">
        <f t="shared" si="5"/>
        <v>12.14</v>
      </c>
      <c r="S22" s="36" t="str">
        <f t="shared" si="6"/>
        <v/>
      </c>
      <c r="T22" s="53"/>
      <c r="U22" s="36" t="str">
        <f t="shared" si="7"/>
        <v/>
      </c>
      <c r="V22" s="26"/>
      <c r="W22" s="36" t="str">
        <f t="shared" si="8"/>
        <v/>
      </c>
      <c r="X22" s="26"/>
      <c r="Y22" s="36" t="str">
        <f t="shared" si="9"/>
        <v/>
      </c>
      <c r="Z22" s="26"/>
      <c r="AA22" s="36" t="str">
        <f t="shared" si="10"/>
        <v/>
      </c>
      <c r="AB22" s="26"/>
      <c r="AC22" s="36" t="str">
        <f t="shared" si="11"/>
        <v/>
      </c>
      <c r="AD22" s="26"/>
      <c r="AE22" s="36" t="str">
        <f t="shared" si="12"/>
        <v/>
      </c>
      <c r="AF22" s="26"/>
      <c r="AG22" s="36" t="str">
        <f t="shared" si="13"/>
        <v/>
      </c>
      <c r="AH22" s="90"/>
      <c r="AI22" s="92"/>
      <c r="AJ22" s="36" t="str">
        <f t="shared" si="14"/>
        <v/>
      </c>
      <c r="AK22" s="134">
        <f t="shared" si="15"/>
        <v>837.5</v>
      </c>
      <c r="AL22" s="36" t="str">
        <f t="shared" si="16"/>
        <v/>
      </c>
      <c r="AM22" s="134">
        <f t="shared" si="17"/>
        <v>837.5</v>
      </c>
      <c r="AN22" s="36" t="str">
        <f t="shared" si="18"/>
        <v/>
      </c>
      <c r="AO22" s="26"/>
      <c r="AP22" s="36" t="str">
        <f t="shared" si="19"/>
        <v/>
      </c>
      <c r="AQ22" s="26"/>
      <c r="AR22" s="36" t="str">
        <f t="shared" si="20"/>
        <v/>
      </c>
      <c r="AS22" s="99"/>
      <c r="AT22" s="123">
        <v>800</v>
      </c>
      <c r="AU22" s="123">
        <f>ROUND(800/40,2)*1.5*1.25</f>
        <v>37.5</v>
      </c>
      <c r="AV22" s="123"/>
      <c r="AW22" s="123">
        <f t="shared" si="28"/>
        <v>837.5</v>
      </c>
      <c r="AX22" s="124">
        <f t="shared" si="21"/>
        <v>51.93</v>
      </c>
      <c r="AY22" s="124">
        <f t="shared" si="22"/>
        <v>12.14</v>
      </c>
      <c r="AZ22" s="128">
        <v>42</v>
      </c>
      <c r="BA22" s="125">
        <f t="shared" si="23"/>
        <v>25.71</v>
      </c>
      <c r="BB22" s="125">
        <f t="shared" si="24"/>
        <v>0.59</v>
      </c>
      <c r="BC22" s="125">
        <f t="shared" si="25"/>
        <v>11.14</v>
      </c>
      <c r="BD22" s="124">
        <v>40</v>
      </c>
      <c r="BE22" s="124">
        <v>0.85</v>
      </c>
      <c r="BF22" s="124">
        <v>1.65</v>
      </c>
      <c r="BG22" s="127">
        <f t="shared" si="26"/>
        <v>651.49</v>
      </c>
      <c r="BH22" s="124">
        <f t="shared" si="29"/>
        <v>837.5</v>
      </c>
      <c r="BI22" s="124">
        <f t="shared" si="30"/>
        <v>837.5</v>
      </c>
      <c r="BJ22" s="124">
        <f t="shared" si="31"/>
        <v>837.5</v>
      </c>
      <c r="BK22" s="124">
        <f t="shared" si="32"/>
        <v>837.5</v>
      </c>
    </row>
    <row r="23" spans="1:63" ht="15">
      <c r="A23" s="18" t="s">
        <v>83</v>
      </c>
      <c r="B23" s="103"/>
      <c r="C23" s="20"/>
      <c r="D23" s="193"/>
      <c r="E23" s="193"/>
      <c r="F23" s="176">
        <v>40</v>
      </c>
      <c r="G23" s="71"/>
      <c r="H23" s="109">
        <v>780</v>
      </c>
      <c r="I23" s="35" t="str">
        <f t="shared" si="0"/>
        <v/>
      </c>
      <c r="J23" s="78"/>
      <c r="K23" s="94"/>
      <c r="L23" s="67"/>
      <c r="M23" s="35" t="str">
        <f t="shared" si="1"/>
        <v/>
      </c>
      <c r="N23" s="138">
        <f t="shared" si="2"/>
        <v>780</v>
      </c>
      <c r="O23" s="36" t="str">
        <f t="shared" si="3"/>
        <v/>
      </c>
      <c r="P23" s="133">
        <f t="shared" si="27"/>
        <v>48.36</v>
      </c>
      <c r="Q23" s="36" t="str">
        <f t="shared" si="4"/>
        <v/>
      </c>
      <c r="R23" s="134">
        <f t="shared" si="5"/>
        <v>11.31</v>
      </c>
      <c r="S23" s="36" t="str">
        <f t="shared" si="6"/>
        <v/>
      </c>
      <c r="T23" s="53"/>
      <c r="U23" s="36" t="str">
        <f t="shared" si="7"/>
        <v/>
      </c>
      <c r="V23" s="26"/>
      <c r="W23" s="36" t="str">
        <f t="shared" si="8"/>
        <v/>
      </c>
      <c r="X23" s="26"/>
      <c r="Y23" s="36" t="str">
        <f t="shared" si="9"/>
        <v/>
      </c>
      <c r="Z23" s="26"/>
      <c r="AA23" s="36" t="str">
        <f t="shared" si="10"/>
        <v/>
      </c>
      <c r="AB23" s="26"/>
      <c r="AC23" s="36" t="str">
        <f t="shared" si="11"/>
        <v/>
      </c>
      <c r="AD23" s="26"/>
      <c r="AE23" s="36" t="str">
        <f t="shared" si="12"/>
        <v/>
      </c>
      <c r="AF23" s="26"/>
      <c r="AG23" s="36" t="str">
        <f t="shared" si="13"/>
        <v/>
      </c>
      <c r="AH23" s="90"/>
      <c r="AI23" s="92"/>
      <c r="AJ23" s="36" t="str">
        <f t="shared" si="14"/>
        <v/>
      </c>
      <c r="AK23" s="134">
        <f t="shared" si="15"/>
        <v>780</v>
      </c>
      <c r="AL23" s="36" t="str">
        <f t="shared" si="16"/>
        <v/>
      </c>
      <c r="AM23" s="134">
        <f t="shared" si="17"/>
        <v>780</v>
      </c>
      <c r="AN23" s="36" t="str">
        <f t="shared" si="18"/>
        <v/>
      </c>
      <c r="AO23" s="26"/>
      <c r="AP23" s="36" t="str">
        <f t="shared" si="19"/>
        <v/>
      </c>
      <c r="AQ23" s="26"/>
      <c r="AR23" s="36" t="str">
        <f t="shared" si="20"/>
        <v/>
      </c>
      <c r="AS23" s="99"/>
      <c r="AT23" s="123">
        <v>780</v>
      </c>
      <c r="AU23" s="123"/>
      <c r="AV23" s="123"/>
      <c r="AW23" s="123">
        <f t="shared" si="28"/>
        <v>780</v>
      </c>
      <c r="AX23" s="124">
        <f t="shared" si="21"/>
        <v>48.36</v>
      </c>
      <c r="AY23" s="124">
        <f t="shared" si="22"/>
        <v>11.31</v>
      </c>
      <c r="AZ23" s="128">
        <v>26</v>
      </c>
      <c r="BA23" s="125">
        <f t="shared" si="23"/>
        <v>23.95</v>
      </c>
      <c r="BB23" s="125">
        <f t="shared" si="24"/>
        <v>0.55000000000000004</v>
      </c>
      <c r="BC23" s="125">
        <f t="shared" si="25"/>
        <v>10.37</v>
      </c>
      <c r="BD23" s="124">
        <v>50</v>
      </c>
      <c r="BE23" s="124">
        <v>0.85</v>
      </c>
      <c r="BF23" s="124">
        <v>1.65</v>
      </c>
      <c r="BG23" s="127">
        <f t="shared" si="26"/>
        <v>606.96</v>
      </c>
      <c r="BH23" s="124">
        <f t="shared" si="29"/>
        <v>780</v>
      </c>
      <c r="BI23" s="124">
        <f t="shared" si="30"/>
        <v>780</v>
      </c>
      <c r="BJ23" s="124">
        <f t="shared" si="31"/>
        <v>780</v>
      </c>
      <c r="BK23" s="124">
        <f t="shared" si="32"/>
        <v>780</v>
      </c>
    </row>
    <row r="24" spans="1:63" ht="15">
      <c r="A24" s="18" t="s">
        <v>84</v>
      </c>
      <c r="B24" s="103"/>
      <c r="C24" s="20"/>
      <c r="D24" s="193"/>
      <c r="E24" s="193"/>
      <c r="F24" s="176">
        <v>40</v>
      </c>
      <c r="G24" s="71"/>
      <c r="H24" s="109">
        <f>ROUND(3500*12/52,2)</f>
        <v>807.69</v>
      </c>
      <c r="I24" s="35" t="str">
        <f t="shared" si="0"/>
        <v/>
      </c>
      <c r="J24" s="78"/>
      <c r="K24" s="94"/>
      <c r="L24" s="67"/>
      <c r="M24" s="35" t="str">
        <f t="shared" si="1"/>
        <v/>
      </c>
      <c r="N24" s="138">
        <f t="shared" si="2"/>
        <v>807.69</v>
      </c>
      <c r="O24" s="36" t="str">
        <f t="shared" si="3"/>
        <v/>
      </c>
      <c r="P24" s="133">
        <f t="shared" si="27"/>
        <v>50.08</v>
      </c>
      <c r="Q24" s="36" t="str">
        <f t="shared" si="4"/>
        <v/>
      </c>
      <c r="R24" s="134">
        <f t="shared" si="5"/>
        <v>11.71</v>
      </c>
      <c r="S24" s="36" t="str">
        <f t="shared" si="6"/>
        <v/>
      </c>
      <c r="T24" s="53"/>
      <c r="U24" s="36" t="str">
        <f t="shared" si="7"/>
        <v/>
      </c>
      <c r="V24" s="26"/>
      <c r="W24" s="36" t="str">
        <f t="shared" si="8"/>
        <v/>
      </c>
      <c r="X24" s="26"/>
      <c r="Y24" s="36" t="str">
        <f t="shared" si="9"/>
        <v/>
      </c>
      <c r="Z24" s="26"/>
      <c r="AA24" s="36" t="str">
        <f t="shared" si="10"/>
        <v/>
      </c>
      <c r="AB24" s="26"/>
      <c r="AC24" s="36" t="str">
        <f t="shared" si="11"/>
        <v/>
      </c>
      <c r="AD24" s="26"/>
      <c r="AE24" s="36" t="str">
        <f t="shared" si="12"/>
        <v/>
      </c>
      <c r="AF24" s="26"/>
      <c r="AG24" s="36" t="str">
        <f t="shared" si="13"/>
        <v/>
      </c>
      <c r="AH24" s="90"/>
      <c r="AI24" s="92"/>
      <c r="AJ24" s="36" t="str">
        <f t="shared" si="14"/>
        <v/>
      </c>
      <c r="AK24" s="134">
        <f t="shared" si="15"/>
        <v>807.69</v>
      </c>
      <c r="AL24" s="36" t="str">
        <f t="shared" si="16"/>
        <v/>
      </c>
      <c r="AM24" s="134">
        <f t="shared" si="17"/>
        <v>807.69</v>
      </c>
      <c r="AN24" s="36" t="str">
        <f t="shared" si="18"/>
        <v/>
      </c>
      <c r="AO24" s="26"/>
      <c r="AP24" s="36" t="str">
        <f t="shared" si="19"/>
        <v/>
      </c>
      <c r="AQ24" s="26"/>
      <c r="AR24" s="36" t="str">
        <f t="shared" si="20"/>
        <v/>
      </c>
      <c r="AS24" s="99"/>
      <c r="AT24" s="123">
        <f>ROUND(3500*12/52,2)</f>
        <v>807.69</v>
      </c>
      <c r="AU24" s="123"/>
      <c r="AV24" s="123"/>
      <c r="AW24" s="123">
        <f t="shared" si="28"/>
        <v>807.69</v>
      </c>
      <c r="AX24" s="124">
        <f t="shared" si="21"/>
        <v>50.08</v>
      </c>
      <c r="AY24" s="124">
        <f t="shared" si="22"/>
        <v>11.71</v>
      </c>
      <c r="AZ24" s="128">
        <v>86</v>
      </c>
      <c r="BA24" s="125">
        <f t="shared" si="23"/>
        <v>24.8</v>
      </c>
      <c r="BB24" s="125">
        <f t="shared" si="24"/>
        <v>0.56999999999999995</v>
      </c>
      <c r="BC24" s="125">
        <f t="shared" si="25"/>
        <v>10.74</v>
      </c>
      <c r="BD24" s="124">
        <v>50</v>
      </c>
      <c r="BE24" s="124">
        <v>0</v>
      </c>
      <c r="BF24" s="124">
        <v>1.65</v>
      </c>
      <c r="BG24" s="127">
        <f t="shared" si="26"/>
        <v>572.14</v>
      </c>
      <c r="BH24" s="124">
        <f t="shared" si="29"/>
        <v>807.69</v>
      </c>
      <c r="BI24" s="124">
        <f t="shared" si="30"/>
        <v>807.69</v>
      </c>
      <c r="BJ24" s="124">
        <f t="shared" si="31"/>
        <v>807.69</v>
      </c>
      <c r="BK24" s="124">
        <f t="shared" si="32"/>
        <v>807.69</v>
      </c>
    </row>
    <row r="25" spans="1:63" ht="15">
      <c r="A25" s="18" t="s">
        <v>85</v>
      </c>
      <c r="B25" s="103"/>
      <c r="C25" s="20"/>
      <c r="D25" s="193"/>
      <c r="E25" s="193"/>
      <c r="F25" s="176">
        <v>40</v>
      </c>
      <c r="G25" s="71"/>
      <c r="H25" s="109">
        <f>ROUND(4500*12/52,2)</f>
        <v>1038.46</v>
      </c>
      <c r="I25" s="35" t="str">
        <f t="shared" si="0"/>
        <v/>
      </c>
      <c r="J25" s="78">
        <v>5</v>
      </c>
      <c r="K25" s="94">
        <f>ROUND(H25/40,2)*1.5</f>
        <v>38.94</v>
      </c>
      <c r="L25" s="74">
        <f>J25*K25</f>
        <v>194.7</v>
      </c>
      <c r="M25" s="35" t="str">
        <f t="shared" si="1"/>
        <v/>
      </c>
      <c r="N25" s="138">
        <f t="shared" si="2"/>
        <v>1233.1600000000001</v>
      </c>
      <c r="O25" s="36" t="str">
        <f t="shared" si="3"/>
        <v/>
      </c>
      <c r="P25" s="133">
        <f t="shared" si="27"/>
        <v>76.459999999999994</v>
      </c>
      <c r="Q25" s="36" t="str">
        <f t="shared" si="4"/>
        <v/>
      </c>
      <c r="R25" s="134">
        <f t="shared" si="5"/>
        <v>17.88</v>
      </c>
      <c r="S25" s="36" t="str">
        <f t="shared" si="6"/>
        <v/>
      </c>
      <c r="T25" s="53"/>
      <c r="U25" s="36" t="str">
        <f t="shared" si="7"/>
        <v/>
      </c>
      <c r="V25" s="26"/>
      <c r="W25" s="36" t="str">
        <f t="shared" si="8"/>
        <v/>
      </c>
      <c r="X25" s="26"/>
      <c r="Y25" s="36" t="str">
        <f t="shared" si="9"/>
        <v/>
      </c>
      <c r="Z25" s="26"/>
      <c r="AA25" s="36" t="str">
        <f t="shared" si="10"/>
        <v/>
      </c>
      <c r="AB25" s="26"/>
      <c r="AC25" s="36" t="str">
        <f t="shared" si="11"/>
        <v/>
      </c>
      <c r="AD25" s="26"/>
      <c r="AE25" s="36" t="str">
        <f t="shared" si="12"/>
        <v/>
      </c>
      <c r="AF25" s="26"/>
      <c r="AG25" s="36" t="str">
        <f t="shared" si="13"/>
        <v/>
      </c>
      <c r="AH25" s="90"/>
      <c r="AI25" s="92"/>
      <c r="AJ25" s="36" t="str">
        <f t="shared" si="14"/>
        <v/>
      </c>
      <c r="AK25" s="134">
        <f t="shared" si="15"/>
        <v>1233.1600000000001</v>
      </c>
      <c r="AL25" s="36" t="str">
        <f t="shared" si="16"/>
        <v/>
      </c>
      <c r="AM25" s="134">
        <f t="shared" si="17"/>
        <v>1233.1600000000001</v>
      </c>
      <c r="AN25" s="36" t="str">
        <f t="shared" si="18"/>
        <v/>
      </c>
      <c r="AO25" s="26"/>
      <c r="AP25" s="36" t="str">
        <f t="shared" si="19"/>
        <v/>
      </c>
      <c r="AQ25" s="26"/>
      <c r="AR25" s="36" t="str">
        <f t="shared" si="20"/>
        <v/>
      </c>
      <c r="AS25" s="99"/>
      <c r="AT25" s="123">
        <f>ROUND(4500*12/52,2)</f>
        <v>1038.46</v>
      </c>
      <c r="AU25" s="123">
        <f>ROUND(AT25/40,2)*1.5*5</f>
        <v>194.7</v>
      </c>
      <c r="AV25" s="123"/>
      <c r="AW25" s="123">
        <f t="shared" si="28"/>
        <v>1233.1600000000001</v>
      </c>
      <c r="AX25" s="124">
        <f t="shared" si="21"/>
        <v>76.459999999999994</v>
      </c>
      <c r="AY25" s="124">
        <f t="shared" si="22"/>
        <v>17.88</v>
      </c>
      <c r="AZ25" s="128">
        <v>81</v>
      </c>
      <c r="BA25" s="125">
        <f t="shared" si="23"/>
        <v>37.86</v>
      </c>
      <c r="BB25" s="125">
        <f t="shared" si="24"/>
        <v>0.86</v>
      </c>
      <c r="BC25" s="125">
        <f t="shared" si="25"/>
        <v>16.399999999999999</v>
      </c>
      <c r="BD25" s="124">
        <v>30</v>
      </c>
      <c r="BE25" s="124">
        <v>0.85</v>
      </c>
      <c r="BF25" s="124">
        <v>1.65</v>
      </c>
      <c r="BG25" s="127">
        <f t="shared" si="26"/>
        <v>970.2</v>
      </c>
      <c r="BH25" s="124">
        <f t="shared" si="29"/>
        <v>1233.1600000000001</v>
      </c>
      <c r="BI25" s="124">
        <f t="shared" si="30"/>
        <v>1233.1600000000001</v>
      </c>
      <c r="BJ25" s="124">
        <f t="shared" si="31"/>
        <v>1233.1600000000001</v>
      </c>
      <c r="BK25" s="124">
        <f t="shared" si="32"/>
        <v>1233.1600000000001</v>
      </c>
    </row>
    <row r="26" spans="1:63" ht="15">
      <c r="A26" s="18" t="s">
        <v>86</v>
      </c>
      <c r="B26" s="103"/>
      <c r="C26" s="20"/>
      <c r="D26" s="193"/>
      <c r="E26" s="193"/>
      <c r="F26" s="176">
        <v>40</v>
      </c>
      <c r="G26" s="71"/>
      <c r="H26" s="117">
        <f>ROUND(78000/52,2)</f>
        <v>1500</v>
      </c>
      <c r="I26" s="35" t="str">
        <f t="shared" si="0"/>
        <v/>
      </c>
      <c r="J26" s="79"/>
      <c r="K26" s="79"/>
      <c r="L26" s="69"/>
      <c r="M26" s="35" t="str">
        <f t="shared" si="1"/>
        <v/>
      </c>
      <c r="N26" s="138">
        <f t="shared" si="2"/>
        <v>1500</v>
      </c>
      <c r="O26" s="47" t="str">
        <f t="shared" si="3"/>
        <v/>
      </c>
      <c r="P26" s="133">
        <f t="shared" si="27"/>
        <v>93</v>
      </c>
      <c r="Q26" s="5" t="str">
        <f t="shared" si="4"/>
        <v/>
      </c>
      <c r="R26" s="134">
        <f t="shared" si="5"/>
        <v>21.75</v>
      </c>
      <c r="S26" s="36" t="str">
        <f t="shared" si="6"/>
        <v/>
      </c>
      <c r="T26" s="51"/>
      <c r="U26" s="50" t="str">
        <f t="shared" si="7"/>
        <v/>
      </c>
      <c r="V26" s="26"/>
      <c r="W26" s="36" t="str">
        <f t="shared" si="8"/>
        <v/>
      </c>
      <c r="X26" s="26"/>
      <c r="Y26" s="61" t="str">
        <f t="shared" si="9"/>
        <v/>
      </c>
      <c r="Z26" s="38"/>
      <c r="AA26" s="36" t="str">
        <f t="shared" si="10"/>
        <v/>
      </c>
      <c r="AB26" s="38"/>
      <c r="AC26" s="36" t="str">
        <f t="shared" si="11"/>
        <v/>
      </c>
      <c r="AD26" s="38"/>
      <c r="AE26" s="61" t="str">
        <f t="shared" si="12"/>
        <v/>
      </c>
      <c r="AF26" s="38"/>
      <c r="AG26" s="61" t="str">
        <f t="shared" si="13"/>
        <v/>
      </c>
      <c r="AH26" s="90"/>
      <c r="AI26" s="92"/>
      <c r="AJ26" s="36" t="str">
        <f t="shared" si="14"/>
        <v/>
      </c>
      <c r="AK26" s="134">
        <f t="shared" si="15"/>
        <v>1500</v>
      </c>
      <c r="AL26" s="61" t="str">
        <f t="shared" si="16"/>
        <v/>
      </c>
      <c r="AM26" s="134">
        <f t="shared" si="17"/>
        <v>1500</v>
      </c>
      <c r="AN26" s="61" t="str">
        <f t="shared" si="18"/>
        <v/>
      </c>
      <c r="AO26" s="38"/>
      <c r="AP26" s="36" t="str">
        <f t="shared" si="19"/>
        <v/>
      </c>
      <c r="AQ26" s="38"/>
      <c r="AR26" s="36" t="str">
        <f t="shared" si="20"/>
        <v/>
      </c>
      <c r="AS26" s="99"/>
      <c r="AT26" s="123">
        <f>ROUND(78000/52,2)</f>
        <v>1500</v>
      </c>
      <c r="AU26" s="123"/>
      <c r="AV26" s="123"/>
      <c r="AW26" s="123">
        <f t="shared" si="28"/>
        <v>1500</v>
      </c>
      <c r="AX26" s="124">
        <f t="shared" si="21"/>
        <v>93</v>
      </c>
      <c r="AY26" s="124">
        <f t="shared" si="22"/>
        <v>21.75</v>
      </c>
      <c r="AZ26" s="129">
        <v>89.76</v>
      </c>
      <c r="BA26" s="125">
        <f t="shared" si="23"/>
        <v>46.05</v>
      </c>
      <c r="BB26" s="125">
        <f t="shared" si="24"/>
        <v>1.05</v>
      </c>
      <c r="BC26" s="125">
        <f t="shared" si="25"/>
        <v>19.95</v>
      </c>
      <c r="BD26" s="130">
        <v>80</v>
      </c>
      <c r="BE26" s="130">
        <v>0.85</v>
      </c>
      <c r="BF26" s="130">
        <v>1.65</v>
      </c>
      <c r="BG26" s="127">
        <f t="shared" si="26"/>
        <v>1145.94</v>
      </c>
      <c r="BH26" s="130">
        <f t="shared" si="29"/>
        <v>1500</v>
      </c>
      <c r="BI26" s="131">
        <f t="shared" si="30"/>
        <v>1500</v>
      </c>
      <c r="BJ26" s="131">
        <f t="shared" si="31"/>
        <v>1500</v>
      </c>
      <c r="BK26" s="131">
        <f t="shared" si="32"/>
        <v>1500</v>
      </c>
    </row>
    <row r="27" spans="1:63" ht="15.5" thickBot="1">
      <c r="A27" s="18" t="s">
        <v>14</v>
      </c>
      <c r="B27" s="103"/>
      <c r="C27" s="20"/>
      <c r="D27" s="19"/>
      <c r="E27" s="19"/>
      <c r="F27" s="65"/>
      <c r="G27" s="19"/>
      <c r="H27" s="119">
        <f>SUM(H17:H26)</f>
        <v>8901.4500000000007</v>
      </c>
      <c r="I27" s="37" t="str">
        <f t="shared" si="0"/>
        <v/>
      </c>
      <c r="J27" s="100"/>
      <c r="K27" s="101"/>
      <c r="L27" s="135">
        <f>SUM(L17:L26)</f>
        <v>738.35</v>
      </c>
      <c r="M27" s="37" t="str">
        <f t="shared" si="1"/>
        <v/>
      </c>
      <c r="N27" s="139">
        <f>SUM(N17:N26)</f>
        <v>9639.7999999999993</v>
      </c>
      <c r="O27" s="37" t="str">
        <f t="shared" si="3"/>
        <v/>
      </c>
      <c r="P27" s="122">
        <f>SUM(P17:P26)</f>
        <v>597.67999999999995</v>
      </c>
      <c r="Q27" s="37" t="str">
        <f t="shared" si="4"/>
        <v/>
      </c>
      <c r="R27" s="122">
        <f>SUM(R17:R26)</f>
        <v>139.77000000000001</v>
      </c>
      <c r="S27" s="37" t="str">
        <f t="shared" si="6"/>
        <v/>
      </c>
      <c r="T27" s="70"/>
      <c r="U27" s="37" t="str">
        <f t="shared" si="7"/>
        <v/>
      </c>
      <c r="V27" s="70"/>
      <c r="W27" s="37" t="str">
        <f t="shared" si="8"/>
        <v/>
      </c>
      <c r="X27" s="70"/>
      <c r="Y27" s="37" t="str">
        <f t="shared" si="9"/>
        <v/>
      </c>
      <c r="Z27" s="70"/>
      <c r="AA27" s="37" t="str">
        <f t="shared" si="10"/>
        <v/>
      </c>
      <c r="AB27" s="70"/>
      <c r="AC27" s="37" t="str">
        <f t="shared" si="11"/>
        <v/>
      </c>
      <c r="AD27" s="70"/>
      <c r="AE27" s="37" t="str">
        <f t="shared" si="12"/>
        <v/>
      </c>
      <c r="AF27" s="70"/>
      <c r="AG27" s="37" t="str">
        <f t="shared" si="13"/>
        <v/>
      </c>
      <c r="AH27" s="91"/>
      <c r="AI27" s="70"/>
      <c r="AJ27" s="37" t="str">
        <f t="shared" si="14"/>
        <v/>
      </c>
      <c r="AK27" s="122">
        <f>SUM(AK17:AK26)</f>
        <v>9639.7999999999993</v>
      </c>
      <c r="AL27" s="37" t="str">
        <f t="shared" si="16"/>
        <v/>
      </c>
      <c r="AM27" s="122">
        <f>SUM(AM17:AM26)</f>
        <v>9639.7999999999993</v>
      </c>
      <c r="AN27" s="37" t="str">
        <f t="shared" si="18"/>
        <v/>
      </c>
      <c r="AO27" s="70"/>
      <c r="AP27" s="37" t="str">
        <f t="shared" si="19"/>
        <v/>
      </c>
      <c r="AQ27" s="70"/>
      <c r="AR27" s="37" t="str">
        <f t="shared" si="20"/>
        <v/>
      </c>
      <c r="AS27" s="99"/>
      <c r="AT27" s="70">
        <f>SUM(AT17:AT26)</f>
        <v>8901.4500000000007</v>
      </c>
      <c r="AU27" s="132">
        <f>SUM(AU17:AU26)</f>
        <v>738.35</v>
      </c>
      <c r="AV27" s="141"/>
      <c r="AW27" s="132">
        <f>SUM(AW17:AW26)</f>
        <v>9639.7999999999993</v>
      </c>
      <c r="AX27" s="132">
        <f t="shared" ref="AX27:BK27" si="33">SUM(AX17:AX26)</f>
        <v>597.67999999999995</v>
      </c>
      <c r="AY27" s="132">
        <f t="shared" si="33"/>
        <v>139.77000000000001</v>
      </c>
      <c r="AZ27" s="132">
        <f t="shared" si="33"/>
        <v>772.76</v>
      </c>
      <c r="BA27" s="132">
        <f t="shared" si="33"/>
        <v>295.95999999999998</v>
      </c>
      <c r="BB27" s="132">
        <f t="shared" si="33"/>
        <v>6.76</v>
      </c>
      <c r="BC27" s="132">
        <f t="shared" si="33"/>
        <v>128.19</v>
      </c>
      <c r="BD27" s="132">
        <f t="shared" si="33"/>
        <v>440</v>
      </c>
      <c r="BE27" s="132">
        <f t="shared" si="33"/>
        <v>6.8</v>
      </c>
      <c r="BF27" s="132">
        <f t="shared" si="33"/>
        <v>16.5</v>
      </c>
      <c r="BG27" s="132">
        <f t="shared" si="33"/>
        <v>7235.38</v>
      </c>
      <c r="BH27" s="132">
        <f>SUM(BH17:BH26)</f>
        <v>9639.7999999999993</v>
      </c>
      <c r="BI27" s="132">
        <f t="shared" si="33"/>
        <v>9639.7999999999993</v>
      </c>
      <c r="BJ27" s="132">
        <f t="shared" si="33"/>
        <v>9639.7999999999993</v>
      </c>
      <c r="BK27" s="132">
        <f t="shared" si="33"/>
        <v>9639.7999999999993</v>
      </c>
    </row>
    <row r="28" spans="1:63" ht="13" thickTop="1"/>
    <row r="30" spans="1:63" ht="13">
      <c r="C30" s="211" t="s">
        <v>25</v>
      </c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</row>
    <row r="31" spans="1:63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63" ht="13">
      <c r="C32" s="58"/>
      <c r="D32" s="213" t="s">
        <v>22</v>
      </c>
      <c r="E32" s="213"/>
      <c r="F32" s="58"/>
      <c r="G32" s="213" t="s">
        <v>21</v>
      </c>
      <c r="H32" s="213"/>
      <c r="I32" s="213"/>
      <c r="J32" s="213"/>
      <c r="K32" s="57"/>
      <c r="L32" s="58" t="s">
        <v>23</v>
      </c>
      <c r="M32" s="57"/>
      <c r="N32" s="58" t="s">
        <v>24</v>
      </c>
      <c r="O32" s="57"/>
    </row>
    <row r="33" spans="3:59" ht="13">
      <c r="C33" s="4"/>
      <c r="D33" s="4" t="s">
        <v>20</v>
      </c>
      <c r="E33" s="4"/>
      <c r="F33" s="4"/>
      <c r="G33" s="214"/>
      <c r="H33" s="214"/>
      <c r="I33" s="214"/>
      <c r="J33" s="214"/>
      <c r="K33" s="4"/>
      <c r="L33" s="4"/>
      <c r="M33" s="4"/>
      <c r="N33" s="4"/>
      <c r="O33" s="4"/>
      <c r="R33" s="4"/>
      <c r="S33" s="4"/>
      <c r="T33" s="105" t="s">
        <v>96</v>
      </c>
      <c r="U33" s="4"/>
      <c r="V33" s="4"/>
      <c r="W33" s="4"/>
      <c r="X33" s="105" t="s">
        <v>93</v>
      </c>
      <c r="Y33" s="4"/>
    </row>
    <row r="34" spans="3:59" ht="15">
      <c r="C34" s="4"/>
      <c r="D34" s="208" t="s">
        <v>70</v>
      </c>
      <c r="E34" s="209"/>
      <c r="F34" s="4" t="s">
        <v>53</v>
      </c>
      <c r="G34" s="4"/>
      <c r="H34" s="4"/>
      <c r="I34" s="4"/>
      <c r="J34" s="4"/>
      <c r="K34" s="39"/>
      <c r="L34" s="56"/>
      <c r="M34" s="39" t="str">
        <f>IF(OR(L34="",L34=AU34),"","*")</f>
        <v/>
      </c>
      <c r="N34" s="4"/>
      <c r="O34" s="4"/>
      <c r="R34" s="4"/>
      <c r="S34" s="4"/>
      <c r="T34" s="105" t="s">
        <v>97</v>
      </c>
      <c r="U34" s="4"/>
      <c r="V34" s="105" t="s">
        <v>98</v>
      </c>
      <c r="W34" s="4"/>
      <c r="X34" s="105" t="s">
        <v>100</v>
      </c>
      <c r="Y34" s="4"/>
      <c r="AU34" s="56">
        <f>AW27</f>
        <v>9639.7999999999993</v>
      </c>
      <c r="AW34" s="4"/>
      <c r="AZ34" s="1"/>
      <c r="BA34" s="1"/>
      <c r="BB34" s="105" t="s">
        <v>96</v>
      </c>
      <c r="BC34" s="4"/>
      <c r="BD34" s="4" t="s">
        <v>93</v>
      </c>
      <c r="BE34" s="1"/>
      <c r="BF34" s="1"/>
      <c r="BG34" s="1"/>
    </row>
    <row r="35" spans="3:59" ht="15.5">
      <c r="C35" s="4"/>
      <c r="D35" s="208"/>
      <c r="E35" s="209"/>
      <c r="F35" s="59"/>
      <c r="G35" s="4" t="s">
        <v>54</v>
      </c>
      <c r="H35" s="4"/>
      <c r="I35" s="4"/>
      <c r="J35" s="4"/>
      <c r="K35" s="39"/>
      <c r="L35" s="4"/>
      <c r="M35" s="39" t="s">
        <v>52</v>
      </c>
      <c r="N35" s="56"/>
      <c r="O35" s="39" t="str">
        <f t="shared" ref="O35:O44" si="34">IF(OR(N35="",N35=AW35),"","*")</f>
        <v/>
      </c>
      <c r="R35" s="4" t="s">
        <v>99</v>
      </c>
      <c r="S35" s="4"/>
      <c r="T35" s="156"/>
      <c r="U35" s="203" t="str">
        <f>IF(OR(T35="",T35=BC39),"","*")</f>
        <v/>
      </c>
      <c r="V35" s="157"/>
      <c r="W35" s="155" t="str">
        <f>IF(OR(V35="",V35=BD39),"","*")</f>
        <v/>
      </c>
      <c r="X35" s="156"/>
      <c r="Y35" s="155" t="str">
        <f>IF(OR(X35="",X35=BE39),"","*")</f>
        <v/>
      </c>
      <c r="AU35" s="4"/>
      <c r="AW35" s="56">
        <f>AX27</f>
        <v>597.67999999999995</v>
      </c>
      <c r="AZ35" s="1"/>
      <c r="BA35" s="1"/>
      <c r="BB35" s="105" t="s">
        <v>97</v>
      </c>
      <c r="BC35" s="4" t="s">
        <v>98</v>
      </c>
      <c r="BD35" s="4" t="s">
        <v>100</v>
      </c>
      <c r="BE35" s="1"/>
      <c r="BF35" s="1"/>
      <c r="BG35" s="1"/>
    </row>
    <row r="36" spans="3:59" ht="15">
      <c r="C36" s="4"/>
      <c r="D36" s="4"/>
      <c r="E36" s="4"/>
      <c r="F36" s="59"/>
      <c r="G36" s="4" t="s">
        <v>55</v>
      </c>
      <c r="H36" s="4"/>
      <c r="I36" s="4"/>
      <c r="J36" s="4"/>
      <c r="K36" s="39"/>
      <c r="L36" s="4"/>
      <c r="M36" s="39" t="s">
        <v>52</v>
      </c>
      <c r="N36" s="56"/>
      <c r="O36" s="39" t="str">
        <f t="shared" si="34"/>
        <v/>
      </c>
      <c r="R36" s="4"/>
      <c r="S36" s="4"/>
      <c r="T36" s="4"/>
      <c r="U36" s="4"/>
      <c r="V36" s="4"/>
      <c r="W36" s="4"/>
      <c r="X36" s="105" t="s">
        <v>101</v>
      </c>
      <c r="Y36" s="4"/>
      <c r="AU36" s="4"/>
      <c r="AW36" s="56">
        <f>AY27</f>
        <v>139.77000000000001</v>
      </c>
      <c r="AZ36" s="1"/>
      <c r="BA36" s="1"/>
      <c r="BB36" s="151">
        <f>BJ27</f>
        <v>9639.7999999999993</v>
      </c>
      <c r="BC36" s="150">
        <f>BJ15</f>
        <v>6.0000000000000001E-3</v>
      </c>
      <c r="BD36" s="153">
        <f>BB36*BC36</f>
        <v>57.84</v>
      </c>
      <c r="BE36" s="1"/>
      <c r="BF36" s="1"/>
      <c r="BG36" s="1"/>
    </row>
    <row r="37" spans="3:59" ht="15.5">
      <c r="C37" s="4"/>
      <c r="D37" s="4"/>
      <c r="E37" s="4"/>
      <c r="F37" s="59"/>
      <c r="G37" s="4" t="s">
        <v>56</v>
      </c>
      <c r="H37" s="4"/>
      <c r="I37" s="4"/>
      <c r="J37" s="4"/>
      <c r="K37" s="39"/>
      <c r="L37" s="4"/>
      <c r="M37" s="39" t="s">
        <v>52</v>
      </c>
      <c r="N37" s="56"/>
      <c r="O37" s="39" t="str">
        <f t="shared" si="34"/>
        <v/>
      </c>
      <c r="R37" s="4" t="s">
        <v>16</v>
      </c>
      <c r="S37" s="4"/>
      <c r="T37" s="156"/>
      <c r="U37" s="155" t="str">
        <f>IF(OR(T37="",T37=BC41),"","*")</f>
        <v/>
      </c>
      <c r="V37" s="204"/>
      <c r="W37" s="155" t="str">
        <f>IF(OR(V37="",V37=BD41),"","*")</f>
        <v/>
      </c>
      <c r="X37" s="156"/>
      <c r="Y37" s="155" t="str">
        <f>IF(OR(X37="",X37=BE41),"","*")</f>
        <v/>
      </c>
      <c r="AU37" s="4"/>
      <c r="AW37" s="56">
        <f>AZ27</f>
        <v>772.76</v>
      </c>
      <c r="AZ37" s="1"/>
      <c r="BA37" s="1"/>
      <c r="BB37" s="152"/>
      <c r="BC37" s="4"/>
      <c r="BD37" s="154" t="s">
        <v>101</v>
      </c>
      <c r="BE37" s="1"/>
      <c r="BF37" s="1"/>
      <c r="BG37" s="1"/>
    </row>
    <row r="38" spans="3:59" ht="15">
      <c r="C38" s="4"/>
      <c r="D38" s="4"/>
      <c r="E38" s="4"/>
      <c r="F38" s="4"/>
      <c r="G38" s="4" t="s">
        <v>57</v>
      </c>
      <c r="H38" s="4"/>
      <c r="I38" s="4"/>
      <c r="J38" s="4"/>
      <c r="K38" s="39"/>
      <c r="L38" s="4"/>
      <c r="M38" s="4"/>
      <c r="N38" s="56"/>
      <c r="O38" s="39" t="str">
        <f t="shared" si="34"/>
        <v/>
      </c>
      <c r="AU38" s="4"/>
      <c r="AW38" s="56">
        <f>BA27</f>
        <v>295.95999999999998</v>
      </c>
      <c r="AZ38" s="1"/>
      <c r="BA38" s="1"/>
      <c r="BB38" s="152">
        <f>BK27</f>
        <v>9639.7999999999993</v>
      </c>
      <c r="BC38" s="150">
        <f>BK15</f>
        <v>3.6784999999999998E-2</v>
      </c>
      <c r="BD38" s="153">
        <f>BB38*BC38</f>
        <v>354.6</v>
      </c>
      <c r="BE38" s="1"/>
      <c r="BF38" s="1"/>
      <c r="BG38" s="1"/>
    </row>
    <row r="39" spans="3:59" ht="15">
      <c r="C39" s="4"/>
      <c r="D39" s="208"/>
      <c r="E39" s="209"/>
      <c r="F39" s="59"/>
      <c r="G39" s="4" t="s">
        <v>58</v>
      </c>
      <c r="H39" s="4"/>
      <c r="I39" s="4"/>
      <c r="J39" s="4"/>
      <c r="K39" s="39"/>
      <c r="L39" s="4"/>
      <c r="M39" s="39" t="s">
        <v>52</v>
      </c>
      <c r="N39" s="56"/>
      <c r="O39" s="39" t="str">
        <f t="shared" si="34"/>
        <v/>
      </c>
      <c r="AU39" s="4"/>
      <c r="AW39" s="56">
        <f>BB27</f>
        <v>6.76</v>
      </c>
    </row>
    <row r="40" spans="3:59" ht="15">
      <c r="C40" s="4"/>
      <c r="D40" s="4"/>
      <c r="E40" s="4"/>
      <c r="F40" s="59"/>
      <c r="G40" s="4" t="s">
        <v>59</v>
      </c>
      <c r="H40" s="4"/>
      <c r="I40" s="4"/>
      <c r="J40" s="4"/>
      <c r="K40" s="39"/>
      <c r="L40" s="4"/>
      <c r="M40" s="39" t="s">
        <v>52</v>
      </c>
      <c r="N40" s="56"/>
      <c r="O40" s="39" t="str">
        <f t="shared" si="34"/>
        <v/>
      </c>
      <c r="AU40" s="4"/>
      <c r="AW40" s="56">
        <f>BC27</f>
        <v>128.19</v>
      </c>
    </row>
    <row r="41" spans="3:59" ht="15">
      <c r="C41" s="4"/>
      <c r="D41" s="4"/>
      <c r="E41" s="4"/>
      <c r="F41" s="59"/>
      <c r="G41" s="4" t="s">
        <v>60</v>
      </c>
      <c r="H41" s="4"/>
      <c r="I41" s="4"/>
      <c r="J41" s="4"/>
      <c r="K41" s="39"/>
      <c r="L41" s="4"/>
      <c r="M41" s="39" t="s">
        <v>52</v>
      </c>
      <c r="N41" s="56"/>
      <c r="O41" s="39" t="str">
        <f t="shared" si="34"/>
        <v/>
      </c>
      <c r="AU41" s="4"/>
      <c r="AW41" s="56">
        <f>BD27</f>
        <v>440</v>
      </c>
    </row>
    <row r="42" spans="3:59" ht="15">
      <c r="C42" s="4"/>
      <c r="D42" s="4"/>
      <c r="E42" s="4"/>
      <c r="F42" s="4"/>
      <c r="G42" s="4" t="s">
        <v>61</v>
      </c>
      <c r="H42" s="4"/>
      <c r="I42" s="4"/>
      <c r="J42" s="4"/>
      <c r="K42" s="39"/>
      <c r="L42" s="4"/>
      <c r="M42" s="4"/>
      <c r="N42" s="56"/>
      <c r="O42" s="39" t="str">
        <f t="shared" si="34"/>
        <v/>
      </c>
      <c r="AU42" s="4"/>
      <c r="AW42" s="56">
        <f>BE27</f>
        <v>6.8</v>
      </c>
    </row>
    <row r="43" spans="3:59" ht="15">
      <c r="C43" s="4"/>
      <c r="D43" s="4"/>
      <c r="E43" s="4"/>
      <c r="F43" s="4"/>
      <c r="G43" s="4" t="s">
        <v>62</v>
      </c>
      <c r="H43" s="4"/>
      <c r="I43" s="4"/>
      <c r="J43" s="4"/>
      <c r="K43" s="39"/>
      <c r="L43" s="4"/>
      <c r="M43" s="39" t="s">
        <v>52</v>
      </c>
      <c r="N43" s="56"/>
      <c r="O43" s="39" t="str">
        <f t="shared" si="34"/>
        <v/>
      </c>
      <c r="AU43" s="4"/>
      <c r="AW43" s="56">
        <f>BF27</f>
        <v>16.5</v>
      </c>
    </row>
    <row r="44" spans="3:59" ht="15">
      <c r="C44" s="4"/>
      <c r="D44" s="4"/>
      <c r="E44" s="4"/>
      <c r="F44" s="4"/>
      <c r="G44" s="4" t="s">
        <v>63</v>
      </c>
      <c r="H44" s="4"/>
      <c r="I44" s="4"/>
      <c r="J44" s="4"/>
      <c r="K44" s="39"/>
      <c r="L44" s="4"/>
      <c r="M44" s="4"/>
      <c r="N44" s="56"/>
      <c r="O44" s="39" t="str">
        <f t="shared" si="34"/>
        <v/>
      </c>
      <c r="AU44" s="4"/>
      <c r="AW44" s="56">
        <f>BG27</f>
        <v>7235.38</v>
      </c>
    </row>
    <row r="45" spans="3:59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AU45" s="4"/>
      <c r="AW45" s="4"/>
    </row>
    <row r="46" spans="3:59" ht="15">
      <c r="C46" s="4"/>
      <c r="D46" s="210" t="s">
        <v>71</v>
      </c>
      <c r="E46" s="209"/>
      <c r="F46" s="4" t="s">
        <v>67</v>
      </c>
      <c r="G46" s="4"/>
      <c r="H46" s="4"/>
      <c r="I46" s="4"/>
      <c r="J46" s="4"/>
      <c r="K46" s="39"/>
      <c r="L46" s="56"/>
      <c r="M46" s="39" t="str">
        <f>IF(OR(L46="",L46=AU46),"","*")</f>
        <v/>
      </c>
      <c r="N46" s="4"/>
      <c r="O46" s="4"/>
      <c r="AU46" s="56">
        <f>SUM(AW47:AW50)</f>
        <v>1149.8900000000001</v>
      </c>
      <c r="AW46" s="4"/>
    </row>
    <row r="47" spans="3:59" ht="15">
      <c r="C47" s="4"/>
      <c r="D47" s="4"/>
      <c r="E47" s="4"/>
      <c r="F47" s="59"/>
      <c r="G47" s="4" t="s">
        <v>54</v>
      </c>
      <c r="H47" s="4"/>
      <c r="I47" s="4"/>
      <c r="J47" s="4"/>
      <c r="K47" s="39"/>
      <c r="L47" s="4"/>
      <c r="M47" s="39" t="s">
        <v>52</v>
      </c>
      <c r="N47" s="56"/>
      <c r="O47" s="39" t="str">
        <f>IF(OR(N47="",N47=AW47),"","*")</f>
        <v/>
      </c>
      <c r="AU47" s="4"/>
      <c r="AW47" s="56">
        <f>BH27*BH15</f>
        <v>597.66999999999996</v>
      </c>
    </row>
    <row r="48" spans="3:59" ht="15">
      <c r="C48" s="4"/>
      <c r="D48" s="4"/>
      <c r="E48" s="4"/>
      <c r="F48" s="59"/>
      <c r="G48" s="4" t="s">
        <v>55</v>
      </c>
      <c r="H48" s="4"/>
      <c r="I48" s="4"/>
      <c r="J48" s="4"/>
      <c r="K48" s="39"/>
      <c r="L48" s="4"/>
      <c r="M48" s="39" t="s">
        <v>52</v>
      </c>
      <c r="N48" s="56"/>
      <c r="O48" s="39" t="str">
        <f>IF(OR(N48="",N48=AW48),"","*")</f>
        <v/>
      </c>
      <c r="AU48" s="4"/>
      <c r="AW48" s="56">
        <f>BI27*BI15</f>
        <v>139.78</v>
      </c>
    </row>
    <row r="49" spans="3:49" ht="15">
      <c r="C49" s="4"/>
      <c r="D49" s="4"/>
      <c r="E49" s="4"/>
      <c r="F49" s="59"/>
      <c r="G49" s="4" t="s">
        <v>68</v>
      </c>
      <c r="H49" s="4"/>
      <c r="I49" s="4"/>
      <c r="J49" s="4"/>
      <c r="K49" s="39"/>
      <c r="L49" s="4"/>
      <c r="M49" s="39" t="s">
        <v>52</v>
      </c>
      <c r="N49" s="56"/>
      <c r="O49" s="39" t="str">
        <f>IF(OR(N49="",N49=AW49),"","*")</f>
        <v/>
      </c>
      <c r="AU49" s="4"/>
      <c r="AW49" s="56">
        <f>BJ27*BJ15</f>
        <v>57.84</v>
      </c>
    </row>
    <row r="50" spans="3:49" ht="15">
      <c r="C50" s="4"/>
      <c r="D50" s="4"/>
      <c r="E50" s="4"/>
      <c r="F50" s="4"/>
      <c r="G50" s="4" t="s">
        <v>69</v>
      </c>
      <c r="H50" s="4"/>
      <c r="I50" s="4"/>
      <c r="J50" s="4"/>
      <c r="K50" s="39"/>
      <c r="L50" s="4"/>
      <c r="M50" s="4"/>
      <c r="N50" s="56"/>
      <c r="O50" s="39" t="str">
        <f>IF(OR(N50="",N50=AW50),"","*")</f>
        <v/>
      </c>
      <c r="AU50" s="4"/>
      <c r="AW50" s="56">
        <f>BK27*BK15</f>
        <v>354.6</v>
      </c>
    </row>
    <row r="51" spans="3:49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AU51" s="4"/>
      <c r="AW51" s="4"/>
    </row>
    <row r="52" spans="3:49" ht="15">
      <c r="C52" s="4"/>
      <c r="D52" s="210" t="s">
        <v>64</v>
      </c>
      <c r="E52" s="209"/>
      <c r="F52" s="4" t="s">
        <v>65</v>
      </c>
      <c r="G52" s="4"/>
      <c r="H52" s="4"/>
      <c r="I52" s="4"/>
      <c r="J52" s="4"/>
      <c r="K52" s="39"/>
      <c r="L52" s="56"/>
      <c r="M52" s="39" t="str">
        <f>IF(OR(L52="",L52=AU52),"","*")</f>
        <v/>
      </c>
      <c r="N52" s="4"/>
      <c r="O52" s="4"/>
      <c r="AU52" s="56">
        <f>BG27</f>
        <v>7235.38</v>
      </c>
      <c r="AW52" s="4"/>
    </row>
    <row r="53" spans="3:49" ht="15">
      <c r="C53" s="4"/>
      <c r="D53" s="4"/>
      <c r="E53" s="4"/>
      <c r="F53" s="59"/>
      <c r="G53" s="4" t="s">
        <v>66</v>
      </c>
      <c r="H53" s="4"/>
      <c r="I53" s="4"/>
      <c r="J53" s="4"/>
      <c r="K53" s="39"/>
      <c r="L53" s="4"/>
      <c r="M53" s="39" t="s">
        <v>52</v>
      </c>
      <c r="N53" s="56"/>
      <c r="O53" s="39" t="str">
        <f>IF(OR(N53="",N53=AW53),"","*")</f>
        <v/>
      </c>
      <c r="AU53" s="4"/>
      <c r="AW53" s="56">
        <f>BG27</f>
        <v>7235.38</v>
      </c>
    </row>
    <row r="54" spans="3:49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3:49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3:49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</sheetData>
  <sheetProtection password="F4C4" sheet="1" objects="1" scenarios="1"/>
  <mergeCells count="34">
    <mergeCell ref="B1:K1"/>
    <mergeCell ref="A7:AR7"/>
    <mergeCell ref="A8:AJ8"/>
    <mergeCell ref="A9:AJ9"/>
    <mergeCell ref="A10:AR10"/>
    <mergeCell ref="AK13:AR13"/>
    <mergeCell ref="F14:F16"/>
    <mergeCell ref="G32:J32"/>
    <mergeCell ref="D11:H11"/>
    <mergeCell ref="D13:D16"/>
    <mergeCell ref="E13:E16"/>
    <mergeCell ref="F13:I13"/>
    <mergeCell ref="J13:M13"/>
    <mergeCell ref="J14:J16"/>
    <mergeCell ref="K14:K16"/>
    <mergeCell ref="P14:R14"/>
    <mergeCell ref="P13:AF13"/>
    <mergeCell ref="AH13:AJ13"/>
    <mergeCell ref="BH14:BK14"/>
    <mergeCell ref="D46:E46"/>
    <mergeCell ref="D52:E52"/>
    <mergeCell ref="G33:J33"/>
    <mergeCell ref="D34:E34"/>
    <mergeCell ref="D35:E35"/>
    <mergeCell ref="D39:E39"/>
    <mergeCell ref="AF16:AG16"/>
    <mergeCell ref="C30:O30"/>
    <mergeCell ref="D32:E32"/>
    <mergeCell ref="A15:C15"/>
    <mergeCell ref="P15:R15"/>
    <mergeCell ref="AD15:AE15"/>
    <mergeCell ref="A16:C16"/>
    <mergeCell ref="AD16:AE16"/>
    <mergeCell ref="G14:G16"/>
  </mergeCells>
  <phoneticPr fontId="16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56"/>
  <sheetViews>
    <sheetView showGridLines="0" workbookViewId="0">
      <selection activeCell="B1" sqref="B1:K1"/>
    </sheetView>
  </sheetViews>
  <sheetFormatPr defaultRowHeight="12.5"/>
  <cols>
    <col min="3" max="3" width="2.453125" customWidth="1"/>
    <col min="4" max="4" width="5.54296875" customWidth="1"/>
    <col min="5" max="5" width="4.453125" customWidth="1"/>
    <col min="6" max="6" width="5.90625" customWidth="1"/>
    <col min="8" max="8" width="9.1796875" bestFit="1" customWidth="1"/>
    <col min="9" max="9" width="3.453125" customWidth="1"/>
    <col min="10" max="10" width="5.08984375" customWidth="1"/>
    <col min="11" max="11" width="7.08984375" customWidth="1"/>
    <col min="12" max="12" width="7.54296875" customWidth="1"/>
    <col min="13" max="13" width="3.7265625" customWidth="1"/>
    <col min="14" max="14" width="9.6328125" customWidth="1"/>
    <col min="15" max="15" width="3.36328125" customWidth="1"/>
    <col min="17" max="17" width="2.90625" customWidth="1"/>
    <col min="19" max="19" width="3.08984375" customWidth="1"/>
    <col min="20" max="20" width="10.1796875" customWidth="1"/>
    <col min="21" max="21" width="3" customWidth="1"/>
    <col min="22" max="22" width="10.1796875" customWidth="1"/>
    <col min="23" max="23" width="3.26953125" customWidth="1"/>
    <col min="24" max="24" width="9.7265625" customWidth="1"/>
    <col min="25" max="25" width="2.90625" customWidth="1"/>
    <col min="27" max="27" width="3" customWidth="1"/>
    <col min="29" max="29" width="3.26953125" customWidth="1"/>
    <col min="31" max="31" width="2.6328125" customWidth="1"/>
    <col min="33" max="33" width="2.6328125" customWidth="1"/>
    <col min="36" max="36" width="2.90625" customWidth="1"/>
    <col min="37" max="37" width="9.1796875" customWidth="1"/>
    <col min="38" max="38" width="3.1796875" customWidth="1"/>
    <col min="39" max="39" width="9.1796875" customWidth="1"/>
    <col min="40" max="40" width="3.1796875" customWidth="1"/>
    <col min="42" max="42" width="2.81640625" customWidth="1"/>
    <col min="44" max="44" width="2.81640625" customWidth="1"/>
    <col min="45" max="45" width="8.7265625" hidden="1" customWidth="1"/>
    <col min="46" max="47" width="9.1796875" hidden="1" customWidth="1"/>
    <col min="48" max="48" width="3.54296875" hidden="1" customWidth="1"/>
    <col min="49" max="49" width="9.1796875" hidden="1" customWidth="1"/>
    <col min="50" max="58" width="8.7265625" hidden="1" customWidth="1"/>
    <col min="59" max="63" width="9.1796875" hidden="1" customWidth="1"/>
  </cols>
  <sheetData>
    <row r="1" spans="1:63" ht="13">
      <c r="A1" s="2" t="s">
        <v>17</v>
      </c>
      <c r="B1" s="215" t="s">
        <v>72</v>
      </c>
      <c r="C1" s="215"/>
      <c r="D1" s="215"/>
      <c r="E1" s="215"/>
      <c r="F1" s="215"/>
      <c r="G1" s="215"/>
      <c r="H1" s="215"/>
      <c r="I1" s="215"/>
      <c r="J1" s="215"/>
      <c r="K1" s="215"/>
    </row>
    <row r="2" spans="1:63" ht="13">
      <c r="A2" s="75" t="s">
        <v>150</v>
      </c>
    </row>
    <row r="3" spans="1:63">
      <c r="A3" s="8" t="s">
        <v>19</v>
      </c>
      <c r="B3" s="8"/>
      <c r="C3" s="8"/>
    </row>
    <row r="4" spans="1:63" ht="13">
      <c r="A4" s="75" t="s">
        <v>161</v>
      </c>
      <c r="B4" s="75"/>
      <c r="C4" s="8"/>
    </row>
    <row r="6" spans="1:63" ht="13">
      <c r="A6" s="6" t="s">
        <v>75</v>
      </c>
      <c r="B6" s="6"/>
      <c r="C6" s="7"/>
    </row>
    <row r="7" spans="1:63" ht="13">
      <c r="A7" s="214" t="s">
        <v>76</v>
      </c>
      <c r="B7" s="214"/>
      <c r="C7" s="214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1"/>
    </row>
    <row r="8" spans="1:63" ht="13">
      <c r="A8" s="244"/>
      <c r="B8" s="244"/>
      <c r="C8" s="244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4"/>
      <c r="AL8" s="4"/>
      <c r="AM8" s="4"/>
      <c r="AN8" s="4"/>
      <c r="AO8" s="4"/>
      <c r="AP8" s="4"/>
      <c r="AQ8" s="4"/>
      <c r="AR8" s="4"/>
      <c r="AS8" s="1"/>
    </row>
    <row r="9" spans="1:63" ht="13">
      <c r="A9" s="244"/>
      <c r="B9" s="244"/>
      <c r="C9" s="244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4"/>
      <c r="AL9" s="4"/>
      <c r="AM9" s="4"/>
      <c r="AN9" s="4"/>
      <c r="AO9" s="4"/>
      <c r="AP9" s="4"/>
      <c r="AQ9" s="4"/>
      <c r="AR9" s="4"/>
      <c r="AS9" s="1"/>
    </row>
    <row r="10" spans="1:63">
      <c r="A10" s="246" t="s">
        <v>7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1"/>
    </row>
    <row r="11" spans="1:63">
      <c r="A11" s="40" t="s">
        <v>18</v>
      </c>
      <c r="B11" s="40"/>
      <c r="C11" s="40"/>
      <c r="D11" s="239" t="s">
        <v>42</v>
      </c>
      <c r="E11" s="240"/>
      <c r="F11" s="240"/>
      <c r="G11" s="240"/>
      <c r="H11" s="240"/>
      <c r="I11" s="12"/>
      <c r="J11" s="12"/>
      <c r="K11" s="12"/>
      <c r="L11" s="12"/>
      <c r="M11" s="22"/>
      <c r="N11" s="12"/>
      <c r="O11" s="12"/>
      <c r="P11" s="12"/>
      <c r="Q11" s="12"/>
      <c r="R11" s="12"/>
      <c r="S11" s="12"/>
      <c r="T11" s="13"/>
      <c r="U11" s="13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4"/>
      <c r="AL11" s="4"/>
      <c r="AM11" s="4"/>
      <c r="AN11" s="4"/>
      <c r="AO11" s="4"/>
      <c r="AP11" s="4"/>
      <c r="AQ11" s="4"/>
      <c r="AR11" s="4"/>
      <c r="AS11" s="1"/>
    </row>
    <row r="12" spans="1:63" ht="13" thickBo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96"/>
      <c r="AX12" t="s">
        <v>129</v>
      </c>
      <c r="AY12" t="s">
        <v>1</v>
      </c>
      <c r="BA12" t="s">
        <v>130</v>
      </c>
      <c r="BB12" t="s">
        <v>131</v>
      </c>
      <c r="BC12" t="s">
        <v>132</v>
      </c>
    </row>
    <row r="13" spans="1:63" ht="13" thickTop="1">
      <c r="A13" s="15"/>
      <c r="B13" s="16"/>
      <c r="C13" s="54"/>
      <c r="D13" s="237" t="s">
        <v>10</v>
      </c>
      <c r="E13" s="247" t="s">
        <v>11</v>
      </c>
      <c r="F13" s="216" t="s">
        <v>37</v>
      </c>
      <c r="G13" s="218"/>
      <c r="H13" s="218"/>
      <c r="I13" s="219"/>
      <c r="J13" s="216" t="s">
        <v>43</v>
      </c>
      <c r="K13" s="218"/>
      <c r="L13" s="218"/>
      <c r="M13" s="219"/>
      <c r="N13" s="49"/>
      <c r="O13" s="43"/>
      <c r="P13" s="241" t="s">
        <v>6</v>
      </c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7"/>
      <c r="AH13" s="216" t="s">
        <v>48</v>
      </c>
      <c r="AI13" s="242"/>
      <c r="AJ13" s="243"/>
      <c r="AK13" s="216" t="s">
        <v>51</v>
      </c>
      <c r="AL13" s="217"/>
      <c r="AM13" s="217"/>
      <c r="AN13" s="217"/>
      <c r="AO13" s="217"/>
      <c r="AP13" s="218"/>
      <c r="AQ13" s="218"/>
      <c r="AR13" s="219"/>
      <c r="AS13" s="97"/>
      <c r="AW13" t="s">
        <v>133</v>
      </c>
      <c r="AX13">
        <v>6.2E-2</v>
      </c>
      <c r="AY13">
        <v>1.4500000000000001E-2</v>
      </c>
      <c r="BA13">
        <v>3.0700000000000002E-2</v>
      </c>
      <c r="BB13">
        <v>6.9999999999999999E-4</v>
      </c>
      <c r="BC13">
        <v>1.3299999999999999E-2</v>
      </c>
    </row>
    <row r="14" spans="1:63">
      <c r="A14" s="17"/>
      <c r="B14" s="10"/>
      <c r="C14" s="55"/>
      <c r="D14" s="238"/>
      <c r="E14" s="248"/>
      <c r="F14" s="220" t="s">
        <v>38</v>
      </c>
      <c r="G14" s="223" t="s">
        <v>39</v>
      </c>
      <c r="H14" s="9"/>
      <c r="I14" s="63"/>
      <c r="J14" s="220" t="s">
        <v>38</v>
      </c>
      <c r="K14" s="223" t="s">
        <v>39</v>
      </c>
      <c r="L14" s="9"/>
      <c r="M14" s="63"/>
      <c r="N14" s="41"/>
      <c r="O14" s="44"/>
      <c r="P14" s="226"/>
      <c r="Q14" s="226"/>
      <c r="R14" s="226"/>
      <c r="S14" s="32"/>
      <c r="T14" s="24"/>
      <c r="U14" s="28"/>
      <c r="V14" s="24"/>
      <c r="W14" s="28"/>
      <c r="X14" s="33"/>
      <c r="Y14" s="33"/>
      <c r="Z14" s="24"/>
      <c r="AA14" s="28"/>
      <c r="AB14" s="24"/>
      <c r="AC14" s="28"/>
      <c r="AD14" s="33"/>
      <c r="AE14" s="33"/>
      <c r="AF14" s="24"/>
      <c r="AG14" s="28"/>
      <c r="AH14" s="87"/>
      <c r="AI14" s="11"/>
      <c r="AJ14" s="23"/>
      <c r="AK14" s="24"/>
      <c r="AL14" s="28"/>
      <c r="AM14" s="24"/>
      <c r="AN14" s="28"/>
      <c r="AO14" s="24"/>
      <c r="AP14" s="28"/>
      <c r="AQ14" s="24"/>
      <c r="AR14" s="28"/>
      <c r="AS14" s="98"/>
      <c r="AW14" t="s">
        <v>134</v>
      </c>
      <c r="AX14">
        <v>6.2E-2</v>
      </c>
      <c r="AY14">
        <v>1.4500000000000001E-2</v>
      </c>
      <c r="BH14" s="249" t="s">
        <v>95</v>
      </c>
      <c r="BI14" s="249"/>
      <c r="BJ14" s="249"/>
      <c r="BK14" s="249"/>
    </row>
    <row r="15" spans="1:63">
      <c r="A15" s="229"/>
      <c r="B15" s="230"/>
      <c r="C15" s="231"/>
      <c r="D15" s="238"/>
      <c r="E15" s="248"/>
      <c r="F15" s="221"/>
      <c r="G15" s="224"/>
      <c r="H15" s="11"/>
      <c r="I15" s="23"/>
      <c r="J15" s="221"/>
      <c r="K15" s="224"/>
      <c r="L15" s="11"/>
      <c r="M15" s="23"/>
      <c r="N15" s="42" t="s">
        <v>12</v>
      </c>
      <c r="O15" s="45"/>
      <c r="P15" s="232" t="s">
        <v>2</v>
      </c>
      <c r="Q15" s="232"/>
      <c r="R15" s="232"/>
      <c r="S15" s="33"/>
      <c r="T15" s="24"/>
      <c r="U15" s="29"/>
      <c r="V15" s="24"/>
      <c r="W15" s="29"/>
      <c r="X15" s="33"/>
      <c r="Y15" s="33"/>
      <c r="Z15" s="24"/>
      <c r="AA15" s="29"/>
      <c r="AB15" s="24"/>
      <c r="AC15" s="29"/>
      <c r="AD15" s="233" t="s">
        <v>47</v>
      </c>
      <c r="AE15" s="234"/>
      <c r="AF15" s="86" t="s">
        <v>46</v>
      </c>
      <c r="AG15" s="29"/>
      <c r="AH15" s="88" t="s">
        <v>49</v>
      </c>
      <c r="AI15" s="11"/>
      <c r="AJ15" s="23"/>
      <c r="AK15" s="24"/>
      <c r="AL15" s="29"/>
      <c r="AM15" s="24"/>
      <c r="AN15" s="29"/>
      <c r="AO15" s="24"/>
      <c r="AP15" s="29"/>
      <c r="AQ15" s="24"/>
      <c r="AR15" s="29"/>
      <c r="AS15" s="98"/>
      <c r="BH15">
        <v>6.2E-2</v>
      </c>
      <c r="BI15">
        <v>1.4500000000000001E-2</v>
      </c>
      <c r="BJ15">
        <v>6.0000000000000001E-3</v>
      </c>
      <c r="BK15">
        <v>3.6784999999999998E-2</v>
      </c>
    </row>
    <row r="16" spans="1:63" ht="15.5" customHeight="1">
      <c r="A16" s="235" t="s">
        <v>26</v>
      </c>
      <c r="B16" s="232"/>
      <c r="C16" s="236"/>
      <c r="D16" s="238"/>
      <c r="E16" s="248"/>
      <c r="F16" s="222"/>
      <c r="G16" s="225"/>
      <c r="H16" s="72" t="s">
        <v>40</v>
      </c>
      <c r="I16" s="64"/>
      <c r="J16" s="222"/>
      <c r="K16" s="225"/>
      <c r="L16" s="72" t="s">
        <v>40</v>
      </c>
      <c r="M16" s="64"/>
      <c r="N16" s="93" t="s">
        <v>13</v>
      </c>
      <c r="O16" s="46"/>
      <c r="P16" s="81" t="s">
        <v>0</v>
      </c>
      <c r="Q16" s="82"/>
      <c r="R16" s="83" t="s">
        <v>1</v>
      </c>
      <c r="S16" s="34"/>
      <c r="T16" s="85" t="s">
        <v>3</v>
      </c>
      <c r="U16" s="31"/>
      <c r="V16" s="72" t="s">
        <v>4</v>
      </c>
      <c r="W16" s="29"/>
      <c r="X16" s="72" t="s">
        <v>16</v>
      </c>
      <c r="Y16" s="30"/>
      <c r="Z16" s="85" t="s">
        <v>5</v>
      </c>
      <c r="AA16" s="29"/>
      <c r="AB16" s="85" t="s">
        <v>44</v>
      </c>
      <c r="AC16" s="29"/>
      <c r="AD16" s="227" t="s">
        <v>45</v>
      </c>
      <c r="AE16" s="228"/>
      <c r="AF16" s="227" t="s">
        <v>45</v>
      </c>
      <c r="AG16" s="228"/>
      <c r="AH16" s="89" t="s">
        <v>50</v>
      </c>
      <c r="AI16" s="84" t="s">
        <v>40</v>
      </c>
      <c r="AJ16" s="21"/>
      <c r="AK16" s="85" t="s">
        <v>0</v>
      </c>
      <c r="AL16" s="29"/>
      <c r="AM16" s="85" t="s">
        <v>1</v>
      </c>
      <c r="AN16" s="29"/>
      <c r="AO16" s="85" t="s">
        <v>15</v>
      </c>
      <c r="AP16" s="29"/>
      <c r="AQ16" s="85" t="s">
        <v>16</v>
      </c>
      <c r="AR16" s="29"/>
      <c r="AS16" s="98"/>
      <c r="AT16" t="s">
        <v>87</v>
      </c>
      <c r="AU16" t="s">
        <v>88</v>
      </c>
      <c r="AW16" t="s">
        <v>89</v>
      </c>
      <c r="AX16" t="s">
        <v>0</v>
      </c>
      <c r="AY16" t="s">
        <v>1</v>
      </c>
      <c r="AZ16" t="s">
        <v>3</v>
      </c>
      <c r="BA16" t="s">
        <v>4</v>
      </c>
      <c r="BB16" t="s">
        <v>16</v>
      </c>
      <c r="BC16" t="s">
        <v>5</v>
      </c>
      <c r="BD16" t="s">
        <v>92</v>
      </c>
      <c r="BE16" t="s">
        <v>91</v>
      </c>
      <c r="BF16" t="s">
        <v>90</v>
      </c>
      <c r="BG16" t="s">
        <v>93</v>
      </c>
      <c r="BH16" t="s">
        <v>0</v>
      </c>
      <c r="BI16" t="s">
        <v>1</v>
      </c>
      <c r="BJ16" t="s">
        <v>15</v>
      </c>
      <c r="BK16" t="s">
        <v>16</v>
      </c>
    </row>
    <row r="17" spans="1:63" ht="15">
      <c r="A17" s="60" t="s">
        <v>94</v>
      </c>
      <c r="B17" s="102"/>
      <c r="C17" s="20"/>
      <c r="D17" s="194" t="s">
        <v>9</v>
      </c>
      <c r="E17" s="194">
        <v>1</v>
      </c>
      <c r="F17" s="176">
        <v>40</v>
      </c>
      <c r="G17" s="195">
        <v>18.5</v>
      </c>
      <c r="H17" s="73">
        <f>F17*G17</f>
        <v>740</v>
      </c>
      <c r="I17" s="35" t="str">
        <f t="shared" ref="I17:I27" si="0">IF(OR(H17="",H17=AT17),"","*")</f>
        <v/>
      </c>
      <c r="J17" s="77"/>
      <c r="K17" s="80"/>
      <c r="L17" s="66"/>
      <c r="M17" s="35" t="str">
        <f t="shared" ref="M17:M27" si="1">IF(OR(L17="",L17=AU17),"","*")</f>
        <v/>
      </c>
      <c r="N17" s="138">
        <f t="shared" ref="N17:N26" si="2">H17+L17</f>
        <v>740</v>
      </c>
      <c r="O17" s="35" t="str">
        <f t="shared" ref="O17:O27" si="3">IF(OR(N17="",N17=AW17),"","*")</f>
        <v/>
      </c>
      <c r="P17" s="142">
        <f>N17*0.062</f>
        <v>45.88</v>
      </c>
      <c r="Q17" s="35" t="str">
        <f t="shared" ref="Q17:Q27" si="4">IF(OR(P17="",P17=AX17),"","*")</f>
        <v/>
      </c>
      <c r="R17" s="143">
        <f t="shared" ref="R17:R26" si="5">N17*0.0145</f>
        <v>10.73</v>
      </c>
      <c r="S17" s="35" t="str">
        <f t="shared" ref="S17:S27" si="6">IF(OR(R17="",R17=AY17),"","*")</f>
        <v/>
      </c>
      <c r="T17" s="107">
        <v>82</v>
      </c>
      <c r="U17" s="35" t="str">
        <f t="shared" ref="U17:U27" si="7">IF(OR(T17="",T17=AZ17),"","*")</f>
        <v/>
      </c>
      <c r="V17" s="134">
        <f t="shared" ref="V17:V26" si="8">N17*0.0307</f>
        <v>22.72</v>
      </c>
      <c r="W17" s="35" t="str">
        <f t="shared" ref="W17:W27" si="9">IF(OR(V17="",V17=BA17),"","*")</f>
        <v/>
      </c>
      <c r="X17" s="25"/>
      <c r="Y17" s="35" t="str">
        <f t="shared" ref="Y17:Y27" si="10">IF(OR(X17="",X17=BB17),"","*")</f>
        <v/>
      </c>
      <c r="Z17" s="134">
        <f>N17*0.0133</f>
        <v>9.84</v>
      </c>
      <c r="AA17" s="35" t="str">
        <f t="shared" ref="AA17:AA27" si="11">IF(OR(Z17="",Z17=BC17),"","*")</f>
        <v/>
      </c>
      <c r="AB17" s="134">
        <v>20</v>
      </c>
      <c r="AC17" s="35" t="str">
        <f t="shared" ref="AC17:AC27" si="12">IF(OR(AB17="",AB17=BD17),"","*")</f>
        <v/>
      </c>
      <c r="AD17" s="25"/>
      <c r="AE17" s="35" t="str">
        <f t="shared" ref="AE17:AE27" si="13">IF(OR(AD17="",AD17=BE17),"","*")</f>
        <v/>
      </c>
      <c r="AF17" s="25"/>
      <c r="AG17" s="35" t="str">
        <f t="shared" ref="AG17:AG27" si="14">IF(OR(AF17="",AF17=BF17),"","*")</f>
        <v/>
      </c>
      <c r="AH17" s="108"/>
      <c r="AI17" s="3"/>
      <c r="AJ17" s="35" t="str">
        <f t="shared" ref="AJ17:AJ27" si="15">IF(OR(AI17="",AI17=BG17),"","*")</f>
        <v/>
      </c>
      <c r="AK17" s="143">
        <f t="shared" ref="AK17:AK26" si="16">N17</f>
        <v>740</v>
      </c>
      <c r="AL17" s="35" t="str">
        <f t="shared" ref="AL17:AL27" si="17">IF(OR(AK17="",AK17=BH17),"","*")</f>
        <v/>
      </c>
      <c r="AM17" s="143">
        <f t="shared" ref="AM17:AM26" si="18">N17</f>
        <v>740</v>
      </c>
      <c r="AN17" s="35" t="str">
        <f t="shared" ref="AN17:AN27" si="19">IF(OR(AM17="",AM17=BI17),"","*")</f>
        <v/>
      </c>
      <c r="AO17" s="25"/>
      <c r="AP17" s="35" t="str">
        <f t="shared" ref="AP17:AP27" si="20">IF(OR(AO17="",AO17=BJ17),"","*")</f>
        <v/>
      </c>
      <c r="AQ17" s="25"/>
      <c r="AR17" s="35" t="str">
        <f t="shared" ref="AR17:AR27" si="21">IF(OR(AQ17="",AQ17=BK17),"","*")</f>
        <v/>
      </c>
      <c r="AS17" s="99"/>
      <c r="AT17" s="123">
        <f>18.5*40</f>
        <v>740</v>
      </c>
      <c r="AU17" s="123"/>
      <c r="AV17" s="123"/>
      <c r="AW17" s="123">
        <f>AT17+AU17</f>
        <v>740</v>
      </c>
      <c r="AX17" s="124">
        <f t="shared" ref="AX17:AX26" si="22">AW17*$AX$13</f>
        <v>45.88</v>
      </c>
      <c r="AY17" s="125">
        <f t="shared" ref="AY17:AY26" si="23">AW17*$AY$13</f>
        <v>10.73</v>
      </c>
      <c r="AZ17" s="126">
        <v>82</v>
      </c>
      <c r="BA17" s="125">
        <f t="shared" ref="BA17:BA26" si="24">AW17*$BA$13</f>
        <v>22.72</v>
      </c>
      <c r="BB17" s="125">
        <f t="shared" ref="BB17:BB26" si="25">AW17*$BB$13</f>
        <v>0.52</v>
      </c>
      <c r="BC17" s="125">
        <f t="shared" ref="BC17:BC26" si="26">AW17*$BC$13</f>
        <v>9.84</v>
      </c>
      <c r="BD17" s="125">
        <v>20</v>
      </c>
      <c r="BE17" s="125">
        <v>0.85</v>
      </c>
      <c r="BF17" s="125">
        <v>1.65</v>
      </c>
      <c r="BG17" s="127">
        <f t="shared" ref="BG17:BG26" si="27">AW17-SUM(AX17:BF17)</f>
        <v>545.80999999999995</v>
      </c>
      <c r="BH17" s="125">
        <f>AW17</f>
        <v>740</v>
      </c>
      <c r="BI17" s="125">
        <f>AW17</f>
        <v>740</v>
      </c>
      <c r="BJ17" s="125">
        <f>AW17</f>
        <v>740</v>
      </c>
      <c r="BK17" s="125">
        <f>AW17</f>
        <v>740</v>
      </c>
    </row>
    <row r="18" spans="1:63" ht="15">
      <c r="A18" s="18" t="s">
        <v>78</v>
      </c>
      <c r="B18" s="103"/>
      <c r="C18" s="20"/>
      <c r="D18" s="194" t="s">
        <v>9</v>
      </c>
      <c r="E18" s="194">
        <v>0</v>
      </c>
      <c r="F18" s="176">
        <v>40</v>
      </c>
      <c r="G18" s="195">
        <v>19.25</v>
      </c>
      <c r="H18" s="67">
        <f>F18*G18</f>
        <v>770</v>
      </c>
      <c r="I18" s="35" t="str">
        <f t="shared" si="0"/>
        <v/>
      </c>
      <c r="J18" s="78">
        <v>10</v>
      </c>
      <c r="K18" s="94">
        <f>G18*1.5</f>
        <v>28.88</v>
      </c>
      <c r="L18" s="68">
        <f>J18*K18</f>
        <v>288.8</v>
      </c>
      <c r="M18" s="35" t="str">
        <f t="shared" si="1"/>
        <v/>
      </c>
      <c r="N18" s="138">
        <f t="shared" si="2"/>
        <v>1058.8</v>
      </c>
      <c r="O18" s="36" t="str">
        <f t="shared" si="3"/>
        <v/>
      </c>
      <c r="P18" s="142">
        <f t="shared" ref="P18:P26" si="28">N18*0.062</f>
        <v>65.650000000000006</v>
      </c>
      <c r="Q18" s="36" t="str">
        <f t="shared" si="4"/>
        <v/>
      </c>
      <c r="R18" s="143">
        <f t="shared" si="5"/>
        <v>15.35</v>
      </c>
      <c r="S18" s="36" t="str">
        <f t="shared" si="6"/>
        <v/>
      </c>
      <c r="T18" s="144">
        <v>159</v>
      </c>
      <c r="U18" s="36" t="str">
        <f t="shared" si="7"/>
        <v/>
      </c>
      <c r="V18" s="134">
        <f t="shared" si="8"/>
        <v>32.51</v>
      </c>
      <c r="W18" s="36" t="str">
        <f t="shared" si="9"/>
        <v/>
      </c>
      <c r="X18" s="26"/>
      <c r="Y18" s="36" t="str">
        <f t="shared" si="10"/>
        <v/>
      </c>
      <c r="Z18" s="133">
        <f t="shared" ref="Z18:Z26" si="29">N18*0.0133</f>
        <v>14.08</v>
      </c>
      <c r="AA18" s="36" t="str">
        <f t="shared" si="11"/>
        <v/>
      </c>
      <c r="AB18" s="133">
        <v>50</v>
      </c>
      <c r="AC18" s="36" t="str">
        <f t="shared" si="12"/>
        <v/>
      </c>
      <c r="AD18" s="26"/>
      <c r="AE18" s="36" t="str">
        <f t="shared" si="13"/>
        <v/>
      </c>
      <c r="AF18" s="26"/>
      <c r="AG18" s="36" t="str">
        <f t="shared" si="14"/>
        <v/>
      </c>
      <c r="AH18" s="90"/>
      <c r="AI18" s="92"/>
      <c r="AJ18" s="36" t="str">
        <f t="shared" si="15"/>
        <v/>
      </c>
      <c r="AK18" s="143">
        <f t="shared" si="16"/>
        <v>1058.8</v>
      </c>
      <c r="AL18" s="36" t="str">
        <f t="shared" si="17"/>
        <v/>
      </c>
      <c r="AM18" s="143">
        <f t="shared" si="18"/>
        <v>1058.8</v>
      </c>
      <c r="AN18" s="36" t="str">
        <f t="shared" si="19"/>
        <v/>
      </c>
      <c r="AO18" s="26"/>
      <c r="AP18" s="36" t="str">
        <f t="shared" si="20"/>
        <v/>
      </c>
      <c r="AQ18" s="26"/>
      <c r="AR18" s="36" t="str">
        <f t="shared" si="21"/>
        <v/>
      </c>
      <c r="AS18" s="99"/>
      <c r="AT18" s="123">
        <f>19.25*40</f>
        <v>770</v>
      </c>
      <c r="AU18" s="123">
        <f>ROUND(19.25*1.5,2)*10</f>
        <v>288.8</v>
      </c>
      <c r="AV18" s="123"/>
      <c r="AW18" s="123">
        <f t="shared" ref="AW18:AW26" si="30">AT18+AU18</f>
        <v>1058.8</v>
      </c>
      <c r="AX18" s="124">
        <f t="shared" si="22"/>
        <v>65.650000000000006</v>
      </c>
      <c r="AY18" s="124">
        <f t="shared" si="23"/>
        <v>15.35</v>
      </c>
      <c r="AZ18" s="128">
        <v>159</v>
      </c>
      <c r="BA18" s="125">
        <f t="shared" si="24"/>
        <v>32.51</v>
      </c>
      <c r="BB18" s="125">
        <f t="shared" si="25"/>
        <v>0.74</v>
      </c>
      <c r="BC18" s="125">
        <f t="shared" si="26"/>
        <v>14.08</v>
      </c>
      <c r="BD18" s="124">
        <v>50</v>
      </c>
      <c r="BE18" s="124">
        <v>0.85</v>
      </c>
      <c r="BF18" s="124">
        <v>1.65</v>
      </c>
      <c r="BG18" s="127">
        <f t="shared" si="27"/>
        <v>718.97</v>
      </c>
      <c r="BH18" s="124">
        <f t="shared" ref="BH18:BH26" si="31">AW18</f>
        <v>1058.8</v>
      </c>
      <c r="BI18" s="124">
        <f t="shared" ref="BI18:BI26" si="32">AW18</f>
        <v>1058.8</v>
      </c>
      <c r="BJ18" s="124">
        <f t="shared" ref="BJ18:BJ26" si="33">AW18</f>
        <v>1058.8</v>
      </c>
      <c r="BK18" s="124">
        <f t="shared" ref="BK18:BK26" si="34">AW18</f>
        <v>1058.8</v>
      </c>
    </row>
    <row r="19" spans="1:63" ht="15">
      <c r="A19" s="18" t="s">
        <v>79</v>
      </c>
      <c r="B19" s="103"/>
      <c r="C19" s="20"/>
      <c r="D19" s="194" t="s">
        <v>8</v>
      </c>
      <c r="E19" s="194">
        <v>2</v>
      </c>
      <c r="F19" s="176">
        <v>38.5</v>
      </c>
      <c r="G19" s="195">
        <v>17.8</v>
      </c>
      <c r="H19" s="67">
        <f>F19*G19</f>
        <v>685.3</v>
      </c>
      <c r="I19" s="35" t="str">
        <f t="shared" si="0"/>
        <v/>
      </c>
      <c r="J19" s="78"/>
      <c r="K19" s="94"/>
      <c r="L19" s="67"/>
      <c r="M19" s="35" t="str">
        <f t="shared" si="1"/>
        <v/>
      </c>
      <c r="N19" s="138">
        <f t="shared" si="2"/>
        <v>685.3</v>
      </c>
      <c r="O19" s="36" t="str">
        <f t="shared" si="3"/>
        <v/>
      </c>
      <c r="P19" s="142">
        <f t="shared" si="28"/>
        <v>42.49</v>
      </c>
      <c r="Q19" s="36" t="str">
        <f t="shared" si="4"/>
        <v/>
      </c>
      <c r="R19" s="143">
        <f t="shared" si="5"/>
        <v>9.94</v>
      </c>
      <c r="S19" s="36" t="str">
        <f t="shared" si="6"/>
        <v/>
      </c>
      <c r="T19" s="144">
        <v>33</v>
      </c>
      <c r="U19" s="36" t="str">
        <f t="shared" si="7"/>
        <v/>
      </c>
      <c r="V19" s="134">
        <f t="shared" si="8"/>
        <v>21.04</v>
      </c>
      <c r="W19" s="36" t="str">
        <f t="shared" si="9"/>
        <v/>
      </c>
      <c r="X19" s="26"/>
      <c r="Y19" s="36" t="str">
        <f t="shared" si="10"/>
        <v/>
      </c>
      <c r="Z19" s="133">
        <f t="shared" si="29"/>
        <v>9.11</v>
      </c>
      <c r="AA19" s="36" t="str">
        <f t="shared" si="11"/>
        <v/>
      </c>
      <c r="AB19" s="133">
        <v>40</v>
      </c>
      <c r="AC19" s="36" t="str">
        <f t="shared" si="12"/>
        <v/>
      </c>
      <c r="AD19" s="26"/>
      <c r="AE19" s="36" t="str">
        <f t="shared" si="13"/>
        <v/>
      </c>
      <c r="AF19" s="26"/>
      <c r="AG19" s="36" t="str">
        <f t="shared" si="14"/>
        <v/>
      </c>
      <c r="AH19" s="90"/>
      <c r="AI19" s="92"/>
      <c r="AJ19" s="36" t="str">
        <f t="shared" si="15"/>
        <v/>
      </c>
      <c r="AK19" s="143">
        <f t="shared" si="16"/>
        <v>685.3</v>
      </c>
      <c r="AL19" s="36" t="str">
        <f t="shared" si="17"/>
        <v/>
      </c>
      <c r="AM19" s="143">
        <f t="shared" si="18"/>
        <v>685.3</v>
      </c>
      <c r="AN19" s="36" t="str">
        <f t="shared" si="19"/>
        <v/>
      </c>
      <c r="AO19" s="26"/>
      <c r="AP19" s="36" t="str">
        <f t="shared" si="20"/>
        <v/>
      </c>
      <c r="AQ19" s="26"/>
      <c r="AR19" s="36" t="str">
        <f t="shared" si="21"/>
        <v/>
      </c>
      <c r="AS19" s="99"/>
      <c r="AT19" s="123">
        <f>17.8*38.5</f>
        <v>685.3</v>
      </c>
      <c r="AU19" s="123"/>
      <c r="AV19" s="123"/>
      <c r="AW19" s="123">
        <f t="shared" si="30"/>
        <v>685.3</v>
      </c>
      <c r="AX19" s="124">
        <f t="shared" si="22"/>
        <v>42.49</v>
      </c>
      <c r="AY19" s="124">
        <f t="shared" si="23"/>
        <v>9.94</v>
      </c>
      <c r="AZ19" s="128">
        <v>33</v>
      </c>
      <c r="BA19" s="125">
        <f t="shared" si="24"/>
        <v>21.04</v>
      </c>
      <c r="BB19" s="125">
        <f t="shared" si="25"/>
        <v>0.48</v>
      </c>
      <c r="BC19" s="125">
        <f t="shared" si="26"/>
        <v>9.11</v>
      </c>
      <c r="BD19" s="124">
        <v>40</v>
      </c>
      <c r="BE19" s="124">
        <v>0</v>
      </c>
      <c r="BF19" s="124">
        <v>1.65</v>
      </c>
      <c r="BG19" s="127">
        <f t="shared" si="27"/>
        <v>527.59</v>
      </c>
      <c r="BH19" s="124">
        <f t="shared" si="31"/>
        <v>685.3</v>
      </c>
      <c r="BI19" s="124">
        <f t="shared" si="32"/>
        <v>685.3</v>
      </c>
      <c r="BJ19" s="124">
        <f t="shared" si="33"/>
        <v>685.3</v>
      </c>
      <c r="BK19" s="124">
        <f t="shared" si="34"/>
        <v>685.3</v>
      </c>
    </row>
    <row r="20" spans="1:63" ht="15">
      <c r="A20" s="18" t="s">
        <v>80</v>
      </c>
      <c r="B20" s="103"/>
      <c r="C20" s="20"/>
      <c r="D20" s="194" t="s">
        <v>8</v>
      </c>
      <c r="E20" s="194">
        <v>3</v>
      </c>
      <c r="F20" s="176">
        <v>40</v>
      </c>
      <c r="G20" s="195">
        <v>20.7</v>
      </c>
      <c r="H20" s="74">
        <f>F20*G20</f>
        <v>828</v>
      </c>
      <c r="I20" s="35" t="str">
        <f t="shared" si="0"/>
        <v/>
      </c>
      <c r="J20" s="78">
        <v>7</v>
      </c>
      <c r="K20" s="94">
        <f>G20*1.5</f>
        <v>31.05</v>
      </c>
      <c r="L20" s="74">
        <f>J20*K20</f>
        <v>217.35</v>
      </c>
      <c r="M20" s="35" t="str">
        <f t="shared" si="1"/>
        <v/>
      </c>
      <c r="N20" s="138">
        <f t="shared" si="2"/>
        <v>1045.3499999999999</v>
      </c>
      <c r="O20" s="36" t="str">
        <f t="shared" si="3"/>
        <v/>
      </c>
      <c r="P20" s="142">
        <f t="shared" si="28"/>
        <v>64.81</v>
      </c>
      <c r="Q20" s="36" t="str">
        <f t="shared" si="4"/>
        <v/>
      </c>
      <c r="R20" s="143">
        <f t="shared" si="5"/>
        <v>15.16</v>
      </c>
      <c r="S20" s="36" t="str">
        <f t="shared" si="6"/>
        <v/>
      </c>
      <c r="T20" s="144">
        <v>71</v>
      </c>
      <c r="U20" s="36" t="str">
        <f t="shared" si="7"/>
        <v/>
      </c>
      <c r="V20" s="134">
        <f t="shared" si="8"/>
        <v>32.090000000000003</v>
      </c>
      <c r="W20" s="36" t="str">
        <f t="shared" si="9"/>
        <v/>
      </c>
      <c r="X20" s="26"/>
      <c r="Y20" s="36" t="str">
        <f t="shared" si="10"/>
        <v/>
      </c>
      <c r="Z20" s="133">
        <f t="shared" si="29"/>
        <v>13.9</v>
      </c>
      <c r="AA20" s="36" t="str">
        <f t="shared" si="11"/>
        <v/>
      </c>
      <c r="AB20" s="133">
        <v>60</v>
      </c>
      <c r="AC20" s="36" t="str">
        <f t="shared" si="12"/>
        <v/>
      </c>
      <c r="AD20" s="26"/>
      <c r="AE20" s="36" t="str">
        <f t="shared" si="13"/>
        <v/>
      </c>
      <c r="AF20" s="26"/>
      <c r="AG20" s="36" t="str">
        <f t="shared" si="14"/>
        <v/>
      </c>
      <c r="AH20" s="90"/>
      <c r="AI20" s="92"/>
      <c r="AJ20" s="36" t="str">
        <f t="shared" si="15"/>
        <v/>
      </c>
      <c r="AK20" s="143">
        <f t="shared" si="16"/>
        <v>1045.3499999999999</v>
      </c>
      <c r="AL20" s="36" t="str">
        <f t="shared" si="17"/>
        <v/>
      </c>
      <c r="AM20" s="143">
        <f t="shared" si="18"/>
        <v>1045.3499999999999</v>
      </c>
      <c r="AN20" s="36" t="str">
        <f t="shared" si="19"/>
        <v/>
      </c>
      <c r="AO20" s="26"/>
      <c r="AP20" s="36" t="str">
        <f t="shared" si="20"/>
        <v/>
      </c>
      <c r="AQ20" s="26"/>
      <c r="AR20" s="36" t="str">
        <f t="shared" si="21"/>
        <v/>
      </c>
      <c r="AS20" s="99"/>
      <c r="AT20" s="123">
        <f>20.7*40</f>
        <v>828</v>
      </c>
      <c r="AU20" s="123">
        <f>ROUND(20.7*1.5,2)*7</f>
        <v>217.35</v>
      </c>
      <c r="AV20" s="123"/>
      <c r="AW20" s="123">
        <f t="shared" si="30"/>
        <v>1045.3499999999999</v>
      </c>
      <c r="AX20" s="124">
        <f t="shared" si="22"/>
        <v>64.81</v>
      </c>
      <c r="AY20" s="124">
        <f t="shared" si="23"/>
        <v>15.16</v>
      </c>
      <c r="AZ20" s="128">
        <v>71</v>
      </c>
      <c r="BA20" s="125">
        <f t="shared" si="24"/>
        <v>32.090000000000003</v>
      </c>
      <c r="BB20" s="125">
        <f t="shared" si="25"/>
        <v>0.73</v>
      </c>
      <c r="BC20" s="125">
        <f t="shared" si="26"/>
        <v>13.9</v>
      </c>
      <c r="BD20" s="124">
        <v>60</v>
      </c>
      <c r="BE20" s="124">
        <v>0.85</v>
      </c>
      <c r="BF20" s="124">
        <v>1.65</v>
      </c>
      <c r="BG20" s="127">
        <f t="shared" si="27"/>
        <v>785.16</v>
      </c>
      <c r="BH20" s="124">
        <f t="shared" si="31"/>
        <v>1045.3499999999999</v>
      </c>
      <c r="BI20" s="124">
        <f t="shared" si="32"/>
        <v>1045.3499999999999</v>
      </c>
      <c r="BJ20" s="124">
        <f t="shared" si="33"/>
        <v>1045.3499999999999</v>
      </c>
      <c r="BK20" s="124">
        <f t="shared" si="34"/>
        <v>1045.3499999999999</v>
      </c>
    </row>
    <row r="21" spans="1:63" ht="15">
      <c r="A21" s="18" t="s">
        <v>81</v>
      </c>
      <c r="B21" s="103"/>
      <c r="C21" s="20"/>
      <c r="D21" s="194" t="s">
        <v>9</v>
      </c>
      <c r="E21" s="194">
        <v>2</v>
      </c>
      <c r="F21" s="176">
        <v>40</v>
      </c>
      <c r="G21" s="195">
        <v>23.8</v>
      </c>
      <c r="H21" s="74">
        <f>F21*G21</f>
        <v>952</v>
      </c>
      <c r="I21" s="35" t="str">
        <f t="shared" si="0"/>
        <v/>
      </c>
      <c r="J21" s="78"/>
      <c r="K21" s="94"/>
      <c r="L21" s="74"/>
      <c r="M21" s="35" t="str">
        <f t="shared" si="1"/>
        <v/>
      </c>
      <c r="N21" s="138">
        <f t="shared" si="2"/>
        <v>952</v>
      </c>
      <c r="O21" s="36" t="str">
        <f t="shared" si="3"/>
        <v/>
      </c>
      <c r="P21" s="142">
        <f t="shared" si="28"/>
        <v>59.02</v>
      </c>
      <c r="Q21" s="36" t="str">
        <f t="shared" si="4"/>
        <v/>
      </c>
      <c r="R21" s="143">
        <f t="shared" si="5"/>
        <v>13.8</v>
      </c>
      <c r="S21" s="36" t="str">
        <f t="shared" si="6"/>
        <v/>
      </c>
      <c r="T21" s="144">
        <v>103</v>
      </c>
      <c r="U21" s="36" t="str">
        <f t="shared" si="7"/>
        <v/>
      </c>
      <c r="V21" s="134">
        <f t="shared" si="8"/>
        <v>29.23</v>
      </c>
      <c r="W21" s="36" t="str">
        <f t="shared" si="9"/>
        <v/>
      </c>
      <c r="X21" s="26"/>
      <c r="Y21" s="36" t="str">
        <f t="shared" si="10"/>
        <v/>
      </c>
      <c r="Z21" s="133">
        <f t="shared" si="29"/>
        <v>12.66</v>
      </c>
      <c r="AA21" s="36" t="str">
        <f t="shared" si="11"/>
        <v/>
      </c>
      <c r="AB21" s="133">
        <v>20</v>
      </c>
      <c r="AC21" s="36" t="str">
        <f t="shared" si="12"/>
        <v/>
      </c>
      <c r="AD21" s="26"/>
      <c r="AE21" s="36" t="str">
        <f t="shared" si="13"/>
        <v/>
      </c>
      <c r="AF21" s="26"/>
      <c r="AG21" s="36" t="str">
        <f t="shared" si="14"/>
        <v/>
      </c>
      <c r="AH21" s="90"/>
      <c r="AI21" s="92"/>
      <c r="AJ21" s="36" t="str">
        <f t="shared" si="15"/>
        <v/>
      </c>
      <c r="AK21" s="143">
        <f t="shared" si="16"/>
        <v>952</v>
      </c>
      <c r="AL21" s="36" t="str">
        <f t="shared" si="17"/>
        <v/>
      </c>
      <c r="AM21" s="143">
        <f t="shared" si="18"/>
        <v>952</v>
      </c>
      <c r="AN21" s="36" t="str">
        <f t="shared" si="19"/>
        <v/>
      </c>
      <c r="AO21" s="26"/>
      <c r="AP21" s="36" t="str">
        <f t="shared" si="20"/>
        <v/>
      </c>
      <c r="AQ21" s="26"/>
      <c r="AR21" s="36" t="str">
        <f t="shared" si="21"/>
        <v/>
      </c>
      <c r="AS21" s="99"/>
      <c r="AT21" s="123">
        <f>23.8*40</f>
        <v>952</v>
      </c>
      <c r="AU21" s="123"/>
      <c r="AV21" s="123"/>
      <c r="AW21" s="123">
        <f t="shared" si="30"/>
        <v>952</v>
      </c>
      <c r="AX21" s="124">
        <f t="shared" si="22"/>
        <v>59.02</v>
      </c>
      <c r="AY21" s="124">
        <f t="shared" si="23"/>
        <v>13.8</v>
      </c>
      <c r="AZ21" s="128">
        <v>103</v>
      </c>
      <c r="BA21" s="125">
        <f t="shared" si="24"/>
        <v>29.23</v>
      </c>
      <c r="BB21" s="125">
        <f t="shared" si="25"/>
        <v>0.67</v>
      </c>
      <c r="BC21" s="125">
        <f t="shared" si="26"/>
        <v>12.66</v>
      </c>
      <c r="BD21" s="124">
        <v>20</v>
      </c>
      <c r="BE21" s="124">
        <v>0.85</v>
      </c>
      <c r="BF21" s="124">
        <v>1.65</v>
      </c>
      <c r="BG21" s="127">
        <f t="shared" si="27"/>
        <v>711.12</v>
      </c>
      <c r="BH21" s="124">
        <f t="shared" si="31"/>
        <v>952</v>
      </c>
      <c r="BI21" s="124">
        <f t="shared" si="32"/>
        <v>952</v>
      </c>
      <c r="BJ21" s="124">
        <f t="shared" si="33"/>
        <v>952</v>
      </c>
      <c r="BK21" s="124">
        <f t="shared" si="34"/>
        <v>952</v>
      </c>
    </row>
    <row r="22" spans="1:63" ht="15">
      <c r="A22" s="18" t="s">
        <v>82</v>
      </c>
      <c r="B22" s="103"/>
      <c r="C22" s="20"/>
      <c r="D22" s="194" t="s">
        <v>8</v>
      </c>
      <c r="E22" s="194">
        <v>3</v>
      </c>
      <c r="F22" s="176">
        <v>40</v>
      </c>
      <c r="G22" s="71"/>
      <c r="H22" s="67">
        <v>800</v>
      </c>
      <c r="I22" s="35" t="str">
        <f t="shared" si="0"/>
        <v/>
      </c>
      <c r="J22" s="136">
        <v>1.25</v>
      </c>
      <c r="K22" s="137">
        <f>ROUND(H22/40,2)*1.5</f>
        <v>30</v>
      </c>
      <c r="L22" s="76">
        <f>J22*K22</f>
        <v>37.5</v>
      </c>
      <c r="M22" s="35" t="str">
        <f t="shared" si="1"/>
        <v/>
      </c>
      <c r="N22" s="138">
        <f t="shared" si="2"/>
        <v>837.5</v>
      </c>
      <c r="O22" s="36" t="str">
        <f t="shared" si="3"/>
        <v/>
      </c>
      <c r="P22" s="142">
        <f t="shared" si="28"/>
        <v>51.93</v>
      </c>
      <c r="Q22" s="36" t="str">
        <f t="shared" si="4"/>
        <v/>
      </c>
      <c r="R22" s="143">
        <f t="shared" si="5"/>
        <v>12.14</v>
      </c>
      <c r="S22" s="36" t="str">
        <f t="shared" si="6"/>
        <v/>
      </c>
      <c r="T22" s="144">
        <v>42</v>
      </c>
      <c r="U22" s="36" t="str">
        <f t="shared" si="7"/>
        <v/>
      </c>
      <c r="V22" s="134">
        <f t="shared" si="8"/>
        <v>25.71</v>
      </c>
      <c r="W22" s="36" t="str">
        <f t="shared" si="9"/>
        <v/>
      </c>
      <c r="X22" s="26"/>
      <c r="Y22" s="36" t="str">
        <f t="shared" si="10"/>
        <v/>
      </c>
      <c r="Z22" s="133">
        <f t="shared" si="29"/>
        <v>11.14</v>
      </c>
      <c r="AA22" s="36" t="str">
        <f t="shared" si="11"/>
        <v/>
      </c>
      <c r="AB22" s="133">
        <v>40</v>
      </c>
      <c r="AC22" s="36" t="str">
        <f t="shared" si="12"/>
        <v/>
      </c>
      <c r="AD22" s="26"/>
      <c r="AE22" s="36" t="str">
        <f t="shared" si="13"/>
        <v/>
      </c>
      <c r="AF22" s="26"/>
      <c r="AG22" s="36" t="str">
        <f t="shared" si="14"/>
        <v/>
      </c>
      <c r="AH22" s="90"/>
      <c r="AI22" s="92"/>
      <c r="AJ22" s="36" t="str">
        <f t="shared" si="15"/>
        <v/>
      </c>
      <c r="AK22" s="143">
        <f t="shared" si="16"/>
        <v>837.5</v>
      </c>
      <c r="AL22" s="36" t="str">
        <f t="shared" si="17"/>
        <v/>
      </c>
      <c r="AM22" s="143">
        <f t="shared" si="18"/>
        <v>837.5</v>
      </c>
      <c r="AN22" s="36" t="str">
        <f t="shared" si="19"/>
        <v/>
      </c>
      <c r="AO22" s="26"/>
      <c r="AP22" s="36" t="str">
        <f t="shared" si="20"/>
        <v/>
      </c>
      <c r="AQ22" s="26"/>
      <c r="AR22" s="36" t="str">
        <f t="shared" si="21"/>
        <v/>
      </c>
      <c r="AS22" s="99"/>
      <c r="AT22" s="123">
        <v>800</v>
      </c>
      <c r="AU22" s="123">
        <f>ROUND(800/40,2)*1.5*1.25</f>
        <v>37.5</v>
      </c>
      <c r="AV22" s="123"/>
      <c r="AW22" s="123">
        <f t="shared" si="30"/>
        <v>837.5</v>
      </c>
      <c r="AX22" s="124">
        <f t="shared" si="22"/>
        <v>51.93</v>
      </c>
      <c r="AY22" s="124">
        <f t="shared" si="23"/>
        <v>12.14</v>
      </c>
      <c r="AZ22" s="128">
        <v>42</v>
      </c>
      <c r="BA22" s="125">
        <f t="shared" si="24"/>
        <v>25.71</v>
      </c>
      <c r="BB22" s="125">
        <f t="shared" si="25"/>
        <v>0.59</v>
      </c>
      <c r="BC22" s="125">
        <f t="shared" si="26"/>
        <v>11.14</v>
      </c>
      <c r="BD22" s="124">
        <v>40</v>
      </c>
      <c r="BE22" s="124">
        <v>0.85</v>
      </c>
      <c r="BF22" s="124">
        <v>1.65</v>
      </c>
      <c r="BG22" s="127">
        <f t="shared" si="27"/>
        <v>651.49</v>
      </c>
      <c r="BH22" s="124">
        <f t="shared" si="31"/>
        <v>837.5</v>
      </c>
      <c r="BI22" s="124">
        <f t="shared" si="32"/>
        <v>837.5</v>
      </c>
      <c r="BJ22" s="124">
        <f t="shared" si="33"/>
        <v>837.5</v>
      </c>
      <c r="BK22" s="124">
        <f t="shared" si="34"/>
        <v>837.5</v>
      </c>
    </row>
    <row r="23" spans="1:63" ht="15">
      <c r="A23" s="18" t="s">
        <v>83</v>
      </c>
      <c r="B23" s="103"/>
      <c r="C23" s="20"/>
      <c r="D23" s="194" t="s">
        <v>8</v>
      </c>
      <c r="E23" s="194">
        <v>4</v>
      </c>
      <c r="F23" s="176">
        <v>40</v>
      </c>
      <c r="G23" s="71"/>
      <c r="H23" s="67">
        <v>780</v>
      </c>
      <c r="I23" s="35" t="str">
        <f t="shared" si="0"/>
        <v/>
      </c>
      <c r="J23" s="78"/>
      <c r="K23" s="94"/>
      <c r="L23" s="67"/>
      <c r="M23" s="35" t="str">
        <f t="shared" si="1"/>
        <v/>
      </c>
      <c r="N23" s="138">
        <f t="shared" si="2"/>
        <v>780</v>
      </c>
      <c r="O23" s="36" t="str">
        <f t="shared" si="3"/>
        <v/>
      </c>
      <c r="P23" s="142">
        <f t="shared" si="28"/>
        <v>48.36</v>
      </c>
      <c r="Q23" s="36" t="str">
        <f t="shared" si="4"/>
        <v/>
      </c>
      <c r="R23" s="143">
        <f t="shared" si="5"/>
        <v>11.31</v>
      </c>
      <c r="S23" s="36" t="str">
        <f t="shared" si="6"/>
        <v/>
      </c>
      <c r="T23" s="144">
        <v>26</v>
      </c>
      <c r="U23" s="36" t="str">
        <f t="shared" si="7"/>
        <v/>
      </c>
      <c r="V23" s="134">
        <f t="shared" si="8"/>
        <v>23.95</v>
      </c>
      <c r="W23" s="36" t="str">
        <f t="shared" si="9"/>
        <v/>
      </c>
      <c r="X23" s="26"/>
      <c r="Y23" s="36" t="str">
        <f t="shared" si="10"/>
        <v/>
      </c>
      <c r="Z23" s="133">
        <f t="shared" si="29"/>
        <v>10.37</v>
      </c>
      <c r="AA23" s="36" t="str">
        <f t="shared" si="11"/>
        <v/>
      </c>
      <c r="AB23" s="133">
        <v>50</v>
      </c>
      <c r="AC23" s="36" t="str">
        <f t="shared" si="12"/>
        <v/>
      </c>
      <c r="AD23" s="26"/>
      <c r="AE23" s="36" t="str">
        <f t="shared" si="13"/>
        <v/>
      </c>
      <c r="AF23" s="26"/>
      <c r="AG23" s="36" t="str">
        <f t="shared" si="14"/>
        <v/>
      </c>
      <c r="AH23" s="90"/>
      <c r="AI23" s="92"/>
      <c r="AJ23" s="36" t="str">
        <f t="shared" si="15"/>
        <v/>
      </c>
      <c r="AK23" s="143">
        <f t="shared" si="16"/>
        <v>780</v>
      </c>
      <c r="AL23" s="36" t="str">
        <f t="shared" si="17"/>
        <v/>
      </c>
      <c r="AM23" s="143">
        <f t="shared" si="18"/>
        <v>780</v>
      </c>
      <c r="AN23" s="36" t="str">
        <f t="shared" si="19"/>
        <v/>
      </c>
      <c r="AO23" s="26"/>
      <c r="AP23" s="36" t="str">
        <f t="shared" si="20"/>
        <v/>
      </c>
      <c r="AQ23" s="26"/>
      <c r="AR23" s="36" t="str">
        <f t="shared" si="21"/>
        <v/>
      </c>
      <c r="AS23" s="99"/>
      <c r="AT23" s="123">
        <v>780</v>
      </c>
      <c r="AU23" s="123"/>
      <c r="AV23" s="123"/>
      <c r="AW23" s="123">
        <f t="shared" si="30"/>
        <v>780</v>
      </c>
      <c r="AX23" s="124">
        <f t="shared" si="22"/>
        <v>48.36</v>
      </c>
      <c r="AY23" s="124">
        <f t="shared" si="23"/>
        <v>11.31</v>
      </c>
      <c r="AZ23" s="128">
        <v>26</v>
      </c>
      <c r="BA23" s="125">
        <f t="shared" si="24"/>
        <v>23.95</v>
      </c>
      <c r="BB23" s="125">
        <f t="shared" si="25"/>
        <v>0.55000000000000004</v>
      </c>
      <c r="BC23" s="125">
        <f t="shared" si="26"/>
        <v>10.37</v>
      </c>
      <c r="BD23" s="124">
        <v>50</v>
      </c>
      <c r="BE23" s="124">
        <v>0.85</v>
      </c>
      <c r="BF23" s="124">
        <v>1.65</v>
      </c>
      <c r="BG23" s="127">
        <f t="shared" si="27"/>
        <v>606.96</v>
      </c>
      <c r="BH23" s="124">
        <f t="shared" si="31"/>
        <v>780</v>
      </c>
      <c r="BI23" s="124">
        <f t="shared" si="32"/>
        <v>780</v>
      </c>
      <c r="BJ23" s="124">
        <f t="shared" si="33"/>
        <v>780</v>
      </c>
      <c r="BK23" s="124">
        <f t="shared" si="34"/>
        <v>780</v>
      </c>
    </row>
    <row r="24" spans="1:63" ht="15">
      <c r="A24" s="18" t="s">
        <v>84</v>
      </c>
      <c r="B24" s="103"/>
      <c r="C24" s="20"/>
      <c r="D24" s="194" t="s">
        <v>9</v>
      </c>
      <c r="E24" s="194">
        <v>1</v>
      </c>
      <c r="F24" s="176">
        <v>40</v>
      </c>
      <c r="G24" s="71"/>
      <c r="H24" s="67">
        <f>ROUND(3500*12/52,2)</f>
        <v>807.69</v>
      </c>
      <c r="I24" s="35" t="str">
        <f t="shared" si="0"/>
        <v/>
      </c>
      <c r="J24" s="78"/>
      <c r="K24" s="94"/>
      <c r="L24" s="67"/>
      <c r="M24" s="35" t="str">
        <f t="shared" si="1"/>
        <v/>
      </c>
      <c r="N24" s="138">
        <f t="shared" si="2"/>
        <v>807.69</v>
      </c>
      <c r="O24" s="36" t="str">
        <f t="shared" si="3"/>
        <v/>
      </c>
      <c r="P24" s="142">
        <f t="shared" si="28"/>
        <v>50.08</v>
      </c>
      <c r="Q24" s="36" t="str">
        <f t="shared" si="4"/>
        <v/>
      </c>
      <c r="R24" s="143">
        <f t="shared" si="5"/>
        <v>11.71</v>
      </c>
      <c r="S24" s="36" t="str">
        <f t="shared" si="6"/>
        <v/>
      </c>
      <c r="T24" s="144">
        <v>86</v>
      </c>
      <c r="U24" s="36" t="str">
        <f t="shared" si="7"/>
        <v/>
      </c>
      <c r="V24" s="134">
        <f t="shared" si="8"/>
        <v>24.8</v>
      </c>
      <c r="W24" s="36" t="str">
        <f t="shared" si="9"/>
        <v/>
      </c>
      <c r="X24" s="26"/>
      <c r="Y24" s="36" t="str">
        <f t="shared" si="10"/>
        <v/>
      </c>
      <c r="Z24" s="133">
        <f t="shared" si="29"/>
        <v>10.74</v>
      </c>
      <c r="AA24" s="36" t="str">
        <f t="shared" si="11"/>
        <v/>
      </c>
      <c r="AB24" s="133">
        <v>50</v>
      </c>
      <c r="AC24" s="36" t="str">
        <f t="shared" si="12"/>
        <v/>
      </c>
      <c r="AD24" s="26"/>
      <c r="AE24" s="36" t="str">
        <f t="shared" si="13"/>
        <v/>
      </c>
      <c r="AF24" s="26"/>
      <c r="AG24" s="36" t="str">
        <f t="shared" si="14"/>
        <v/>
      </c>
      <c r="AH24" s="90"/>
      <c r="AI24" s="92"/>
      <c r="AJ24" s="36" t="str">
        <f t="shared" si="15"/>
        <v/>
      </c>
      <c r="AK24" s="143">
        <f t="shared" si="16"/>
        <v>807.69</v>
      </c>
      <c r="AL24" s="36" t="str">
        <f t="shared" si="17"/>
        <v/>
      </c>
      <c r="AM24" s="143">
        <f t="shared" si="18"/>
        <v>807.69</v>
      </c>
      <c r="AN24" s="36" t="str">
        <f t="shared" si="19"/>
        <v/>
      </c>
      <c r="AO24" s="26"/>
      <c r="AP24" s="36" t="str">
        <f t="shared" si="20"/>
        <v/>
      </c>
      <c r="AQ24" s="26"/>
      <c r="AR24" s="36" t="str">
        <f t="shared" si="21"/>
        <v/>
      </c>
      <c r="AS24" s="99"/>
      <c r="AT24" s="123">
        <f>ROUND(3500*12/52,2)</f>
        <v>807.69</v>
      </c>
      <c r="AU24" s="123"/>
      <c r="AV24" s="123"/>
      <c r="AW24" s="123">
        <f t="shared" si="30"/>
        <v>807.69</v>
      </c>
      <c r="AX24" s="124">
        <f t="shared" si="22"/>
        <v>50.08</v>
      </c>
      <c r="AY24" s="124">
        <f t="shared" si="23"/>
        <v>11.71</v>
      </c>
      <c r="AZ24" s="128">
        <v>86</v>
      </c>
      <c r="BA24" s="125">
        <f t="shared" si="24"/>
        <v>24.8</v>
      </c>
      <c r="BB24" s="125">
        <f t="shared" si="25"/>
        <v>0.56999999999999995</v>
      </c>
      <c r="BC24" s="125">
        <f t="shared" si="26"/>
        <v>10.74</v>
      </c>
      <c r="BD24" s="124">
        <v>50</v>
      </c>
      <c r="BE24" s="124">
        <v>0</v>
      </c>
      <c r="BF24" s="124">
        <v>1.65</v>
      </c>
      <c r="BG24" s="127">
        <f t="shared" si="27"/>
        <v>572.14</v>
      </c>
      <c r="BH24" s="124">
        <f t="shared" si="31"/>
        <v>807.69</v>
      </c>
      <c r="BI24" s="124">
        <f t="shared" si="32"/>
        <v>807.69</v>
      </c>
      <c r="BJ24" s="124">
        <f t="shared" si="33"/>
        <v>807.69</v>
      </c>
      <c r="BK24" s="124">
        <f t="shared" si="34"/>
        <v>807.69</v>
      </c>
    </row>
    <row r="25" spans="1:63" ht="15">
      <c r="A25" s="18" t="s">
        <v>85</v>
      </c>
      <c r="B25" s="103"/>
      <c r="C25" s="20"/>
      <c r="D25" s="194" t="s">
        <v>8</v>
      </c>
      <c r="E25" s="194">
        <v>5</v>
      </c>
      <c r="F25" s="176">
        <v>40</v>
      </c>
      <c r="G25" s="71"/>
      <c r="H25" s="67">
        <f>ROUND(4500*12/52,2)</f>
        <v>1038.46</v>
      </c>
      <c r="I25" s="35" t="str">
        <f t="shared" si="0"/>
        <v/>
      </c>
      <c r="J25" s="78">
        <v>5</v>
      </c>
      <c r="K25" s="94">
        <f>ROUND(H25/40,2)*1.5</f>
        <v>38.94</v>
      </c>
      <c r="L25" s="74">
        <f>J25*K25</f>
        <v>194.7</v>
      </c>
      <c r="M25" s="35" t="str">
        <f t="shared" si="1"/>
        <v/>
      </c>
      <c r="N25" s="138">
        <f t="shared" si="2"/>
        <v>1233.1600000000001</v>
      </c>
      <c r="O25" s="36" t="str">
        <f t="shared" si="3"/>
        <v/>
      </c>
      <c r="P25" s="142">
        <f t="shared" si="28"/>
        <v>76.459999999999994</v>
      </c>
      <c r="Q25" s="36" t="str">
        <f t="shared" si="4"/>
        <v/>
      </c>
      <c r="R25" s="143">
        <f t="shared" si="5"/>
        <v>17.88</v>
      </c>
      <c r="S25" s="36" t="str">
        <f t="shared" si="6"/>
        <v/>
      </c>
      <c r="T25" s="144">
        <v>81</v>
      </c>
      <c r="U25" s="36" t="str">
        <f t="shared" si="7"/>
        <v/>
      </c>
      <c r="V25" s="134">
        <f t="shared" si="8"/>
        <v>37.86</v>
      </c>
      <c r="W25" s="36" t="str">
        <f t="shared" si="9"/>
        <v/>
      </c>
      <c r="X25" s="26"/>
      <c r="Y25" s="36" t="str">
        <f t="shared" si="10"/>
        <v/>
      </c>
      <c r="Z25" s="133">
        <f t="shared" si="29"/>
        <v>16.399999999999999</v>
      </c>
      <c r="AA25" s="36" t="str">
        <f t="shared" si="11"/>
        <v/>
      </c>
      <c r="AB25" s="133">
        <v>30</v>
      </c>
      <c r="AC25" s="36" t="str">
        <f t="shared" si="12"/>
        <v/>
      </c>
      <c r="AD25" s="26"/>
      <c r="AE25" s="36" t="str">
        <f t="shared" si="13"/>
        <v/>
      </c>
      <c r="AF25" s="26"/>
      <c r="AG25" s="36" t="str">
        <f t="shared" si="14"/>
        <v/>
      </c>
      <c r="AH25" s="90"/>
      <c r="AI25" s="92"/>
      <c r="AJ25" s="36" t="str">
        <f t="shared" si="15"/>
        <v/>
      </c>
      <c r="AK25" s="143">
        <f t="shared" si="16"/>
        <v>1233.1600000000001</v>
      </c>
      <c r="AL25" s="36" t="str">
        <f t="shared" si="17"/>
        <v/>
      </c>
      <c r="AM25" s="143">
        <f t="shared" si="18"/>
        <v>1233.1600000000001</v>
      </c>
      <c r="AN25" s="36" t="str">
        <f t="shared" si="19"/>
        <v/>
      </c>
      <c r="AO25" s="26"/>
      <c r="AP25" s="36" t="str">
        <f t="shared" si="20"/>
        <v/>
      </c>
      <c r="AQ25" s="26"/>
      <c r="AR25" s="36" t="str">
        <f t="shared" si="21"/>
        <v/>
      </c>
      <c r="AS25" s="99"/>
      <c r="AT25" s="123">
        <f>ROUND(4500*12/52,2)</f>
        <v>1038.46</v>
      </c>
      <c r="AU25" s="123">
        <f>ROUND(AT25/40,2)*1.5*5</f>
        <v>194.7</v>
      </c>
      <c r="AV25" s="123"/>
      <c r="AW25" s="123">
        <f t="shared" si="30"/>
        <v>1233.1600000000001</v>
      </c>
      <c r="AX25" s="124">
        <f t="shared" si="22"/>
        <v>76.459999999999994</v>
      </c>
      <c r="AY25" s="124">
        <f t="shared" si="23"/>
        <v>17.88</v>
      </c>
      <c r="AZ25" s="128">
        <v>81</v>
      </c>
      <c r="BA25" s="125">
        <f t="shared" si="24"/>
        <v>37.86</v>
      </c>
      <c r="BB25" s="125">
        <f t="shared" si="25"/>
        <v>0.86</v>
      </c>
      <c r="BC25" s="125">
        <f t="shared" si="26"/>
        <v>16.399999999999999</v>
      </c>
      <c r="BD25" s="124">
        <v>30</v>
      </c>
      <c r="BE25" s="124">
        <v>0.85</v>
      </c>
      <c r="BF25" s="124">
        <v>1.65</v>
      </c>
      <c r="BG25" s="127">
        <f t="shared" si="27"/>
        <v>970.2</v>
      </c>
      <c r="BH25" s="124">
        <f t="shared" si="31"/>
        <v>1233.1600000000001</v>
      </c>
      <c r="BI25" s="124">
        <f t="shared" si="32"/>
        <v>1233.1600000000001</v>
      </c>
      <c r="BJ25" s="124">
        <f t="shared" si="33"/>
        <v>1233.1600000000001</v>
      </c>
      <c r="BK25" s="124">
        <f t="shared" si="34"/>
        <v>1233.1600000000001</v>
      </c>
    </row>
    <row r="26" spans="1:63" ht="15">
      <c r="A26" s="18" t="s">
        <v>86</v>
      </c>
      <c r="B26" s="103"/>
      <c r="C26" s="20"/>
      <c r="D26" s="194" t="s">
        <v>8</v>
      </c>
      <c r="E26" s="194">
        <v>7</v>
      </c>
      <c r="F26" s="176">
        <v>40</v>
      </c>
      <c r="G26" s="71"/>
      <c r="H26" s="69">
        <f>ROUND(78000/52,2)</f>
        <v>1500</v>
      </c>
      <c r="I26" s="35" t="str">
        <f t="shared" si="0"/>
        <v/>
      </c>
      <c r="J26" s="79"/>
      <c r="K26" s="79"/>
      <c r="L26" s="69"/>
      <c r="M26" s="35" t="str">
        <f t="shared" si="1"/>
        <v/>
      </c>
      <c r="N26" s="138">
        <f t="shared" si="2"/>
        <v>1500</v>
      </c>
      <c r="O26" s="47" t="str">
        <f t="shared" si="3"/>
        <v/>
      </c>
      <c r="P26" s="142">
        <f t="shared" si="28"/>
        <v>93</v>
      </c>
      <c r="Q26" s="5" t="str">
        <f t="shared" si="4"/>
        <v/>
      </c>
      <c r="R26" s="143">
        <f t="shared" si="5"/>
        <v>21.75</v>
      </c>
      <c r="S26" s="36" t="str">
        <f t="shared" si="6"/>
        <v/>
      </c>
      <c r="T26" s="145">
        <v>89.76</v>
      </c>
      <c r="U26" s="50" t="str">
        <f t="shared" si="7"/>
        <v/>
      </c>
      <c r="V26" s="134">
        <f t="shared" si="8"/>
        <v>46.05</v>
      </c>
      <c r="W26" s="36" t="str">
        <f t="shared" si="9"/>
        <v/>
      </c>
      <c r="X26" s="26"/>
      <c r="Y26" s="61" t="str">
        <f t="shared" si="10"/>
        <v/>
      </c>
      <c r="Z26" s="146">
        <f t="shared" si="29"/>
        <v>19.95</v>
      </c>
      <c r="AA26" s="36" t="str">
        <f t="shared" si="11"/>
        <v/>
      </c>
      <c r="AB26" s="146">
        <v>80</v>
      </c>
      <c r="AC26" s="36" t="str">
        <f t="shared" si="12"/>
        <v/>
      </c>
      <c r="AD26" s="38"/>
      <c r="AE26" s="61" t="str">
        <f t="shared" si="13"/>
        <v/>
      </c>
      <c r="AF26" s="38"/>
      <c r="AG26" s="61" t="str">
        <f t="shared" si="14"/>
        <v/>
      </c>
      <c r="AH26" s="90"/>
      <c r="AI26" s="92"/>
      <c r="AJ26" s="36" t="str">
        <f t="shared" si="15"/>
        <v/>
      </c>
      <c r="AK26" s="143">
        <f t="shared" si="16"/>
        <v>1500</v>
      </c>
      <c r="AL26" s="61" t="str">
        <f t="shared" si="17"/>
        <v/>
      </c>
      <c r="AM26" s="143">
        <f t="shared" si="18"/>
        <v>1500</v>
      </c>
      <c r="AN26" s="61" t="str">
        <f t="shared" si="19"/>
        <v/>
      </c>
      <c r="AO26" s="38"/>
      <c r="AP26" s="36" t="str">
        <f t="shared" si="20"/>
        <v/>
      </c>
      <c r="AQ26" s="38"/>
      <c r="AR26" s="36" t="str">
        <f t="shared" si="21"/>
        <v/>
      </c>
      <c r="AS26" s="99"/>
      <c r="AT26" s="123">
        <f>ROUND(78000/52,2)</f>
        <v>1500</v>
      </c>
      <c r="AU26" s="123"/>
      <c r="AV26" s="123"/>
      <c r="AW26" s="123">
        <f t="shared" si="30"/>
        <v>1500</v>
      </c>
      <c r="AX26" s="124">
        <f t="shared" si="22"/>
        <v>93</v>
      </c>
      <c r="AY26" s="124">
        <f t="shared" si="23"/>
        <v>21.75</v>
      </c>
      <c r="AZ26" s="129">
        <v>89.76</v>
      </c>
      <c r="BA26" s="125">
        <f t="shared" si="24"/>
        <v>46.05</v>
      </c>
      <c r="BB26" s="125">
        <f t="shared" si="25"/>
        <v>1.05</v>
      </c>
      <c r="BC26" s="125">
        <f t="shared" si="26"/>
        <v>19.95</v>
      </c>
      <c r="BD26" s="130">
        <v>80</v>
      </c>
      <c r="BE26" s="130">
        <v>0.85</v>
      </c>
      <c r="BF26" s="130">
        <v>1.65</v>
      </c>
      <c r="BG26" s="127">
        <f t="shared" si="27"/>
        <v>1145.94</v>
      </c>
      <c r="BH26" s="130">
        <f t="shared" si="31"/>
        <v>1500</v>
      </c>
      <c r="BI26" s="131">
        <f t="shared" si="32"/>
        <v>1500</v>
      </c>
      <c r="BJ26" s="131">
        <f t="shared" si="33"/>
        <v>1500</v>
      </c>
      <c r="BK26" s="131">
        <f t="shared" si="34"/>
        <v>1500</v>
      </c>
    </row>
    <row r="27" spans="1:63" ht="15.5" thickBot="1">
      <c r="A27" s="18" t="s">
        <v>14</v>
      </c>
      <c r="B27" s="103"/>
      <c r="C27" s="20"/>
      <c r="D27" s="19"/>
      <c r="E27" s="19"/>
      <c r="F27" s="65"/>
      <c r="G27" s="19"/>
      <c r="H27" s="135">
        <f>SUM(H17:H26)</f>
        <v>8901.4500000000007</v>
      </c>
      <c r="I27" s="37" t="str">
        <f t="shared" si="0"/>
        <v/>
      </c>
      <c r="J27" s="100"/>
      <c r="K27" s="101"/>
      <c r="L27" s="135">
        <f>SUM(L17:L26)</f>
        <v>738.35</v>
      </c>
      <c r="M27" s="37" t="str">
        <f t="shared" si="1"/>
        <v/>
      </c>
      <c r="N27" s="139">
        <f>SUM(N17:N26)</f>
        <v>9639.7999999999993</v>
      </c>
      <c r="O27" s="37" t="str">
        <f t="shared" si="3"/>
        <v/>
      </c>
      <c r="P27" s="139">
        <f>SUM(P17:P26)</f>
        <v>597.67999999999995</v>
      </c>
      <c r="Q27" s="37" t="str">
        <f t="shared" si="4"/>
        <v/>
      </c>
      <c r="R27" s="139">
        <f>SUM(R17:R26)</f>
        <v>139.77000000000001</v>
      </c>
      <c r="S27" s="37" t="str">
        <f t="shared" si="6"/>
        <v/>
      </c>
      <c r="T27" s="122">
        <f>SUM(T17:T26)</f>
        <v>772.76</v>
      </c>
      <c r="U27" s="37" t="str">
        <f t="shared" si="7"/>
        <v/>
      </c>
      <c r="V27" s="122">
        <f>SUM(V17:V26)</f>
        <v>295.95999999999998</v>
      </c>
      <c r="W27" s="37" t="str">
        <f t="shared" si="9"/>
        <v/>
      </c>
      <c r="X27" s="70"/>
      <c r="Y27" s="37" t="str">
        <f t="shared" si="10"/>
        <v/>
      </c>
      <c r="Z27" s="122">
        <f>SUM(Z17:Z26)</f>
        <v>128.19</v>
      </c>
      <c r="AA27" s="37" t="str">
        <f t="shared" si="11"/>
        <v/>
      </c>
      <c r="AB27" s="122">
        <f>SUM(AB17:AB26)</f>
        <v>440</v>
      </c>
      <c r="AC27" s="37" t="str">
        <f t="shared" si="12"/>
        <v/>
      </c>
      <c r="AD27" s="70"/>
      <c r="AE27" s="37" t="str">
        <f t="shared" si="13"/>
        <v/>
      </c>
      <c r="AF27" s="70"/>
      <c r="AG27" s="37" t="str">
        <f t="shared" si="14"/>
        <v/>
      </c>
      <c r="AH27" s="91"/>
      <c r="AI27" s="70"/>
      <c r="AJ27" s="37" t="str">
        <f t="shared" si="15"/>
        <v/>
      </c>
      <c r="AK27" s="139">
        <f>SUM(AK17:AK26)</f>
        <v>9639.7999999999993</v>
      </c>
      <c r="AL27" s="37" t="str">
        <f t="shared" si="17"/>
        <v/>
      </c>
      <c r="AM27" s="139">
        <f>SUM(AM17:AM26)</f>
        <v>9639.7999999999993</v>
      </c>
      <c r="AN27" s="37" t="str">
        <f t="shared" si="19"/>
        <v/>
      </c>
      <c r="AO27" s="70"/>
      <c r="AP27" s="37" t="str">
        <f t="shared" si="20"/>
        <v/>
      </c>
      <c r="AQ27" s="70"/>
      <c r="AR27" s="37" t="str">
        <f t="shared" si="21"/>
        <v/>
      </c>
      <c r="AS27" s="99"/>
      <c r="AT27" s="70">
        <f>SUM(AT17:AT26)</f>
        <v>8901.4500000000007</v>
      </c>
      <c r="AU27" s="132">
        <f>SUM(AU17:AU26)</f>
        <v>738.35</v>
      </c>
      <c r="AV27" s="141"/>
      <c r="AW27" s="132">
        <f>SUM(AW17:AW26)</f>
        <v>9639.7999999999993</v>
      </c>
      <c r="AX27" s="132">
        <f t="shared" ref="AX27:BK27" si="35">SUM(AX17:AX26)</f>
        <v>597.67999999999995</v>
      </c>
      <c r="AY27" s="132">
        <f t="shared" si="35"/>
        <v>139.77000000000001</v>
      </c>
      <c r="AZ27" s="132">
        <f t="shared" si="35"/>
        <v>772.76</v>
      </c>
      <c r="BA27" s="132">
        <f t="shared" si="35"/>
        <v>295.95999999999998</v>
      </c>
      <c r="BB27" s="132">
        <f t="shared" si="35"/>
        <v>6.76</v>
      </c>
      <c r="BC27" s="132">
        <f t="shared" si="35"/>
        <v>128.19</v>
      </c>
      <c r="BD27" s="132">
        <f t="shared" si="35"/>
        <v>440</v>
      </c>
      <c r="BE27" s="132">
        <f t="shared" si="35"/>
        <v>6.8</v>
      </c>
      <c r="BF27" s="132">
        <f t="shared" si="35"/>
        <v>16.5</v>
      </c>
      <c r="BG27" s="132">
        <f t="shared" si="35"/>
        <v>7235.38</v>
      </c>
      <c r="BH27" s="132">
        <f>SUM(BH17:BH26)</f>
        <v>9639.7999999999993</v>
      </c>
      <c r="BI27" s="132">
        <f>SUM(BI17:BI26)</f>
        <v>9639.7999999999993</v>
      </c>
      <c r="BJ27" s="132">
        <f t="shared" si="35"/>
        <v>9639.7999999999993</v>
      </c>
      <c r="BK27" s="132">
        <f t="shared" si="35"/>
        <v>9639.7999999999993</v>
      </c>
    </row>
    <row r="28" spans="1:63" ht="13" thickTop="1"/>
    <row r="30" spans="1:63" ht="13">
      <c r="C30" s="211" t="s">
        <v>25</v>
      </c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</row>
    <row r="31" spans="1:63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63" ht="13">
      <c r="C32" s="58"/>
      <c r="D32" s="213" t="s">
        <v>22</v>
      </c>
      <c r="E32" s="213"/>
      <c r="F32" s="58"/>
      <c r="G32" s="213" t="s">
        <v>21</v>
      </c>
      <c r="H32" s="213"/>
      <c r="I32" s="213"/>
      <c r="J32" s="213"/>
      <c r="K32" s="57"/>
      <c r="L32" s="58" t="s">
        <v>23</v>
      </c>
      <c r="M32" s="57"/>
      <c r="N32" s="58" t="s">
        <v>24</v>
      </c>
      <c r="O32" s="57"/>
    </row>
    <row r="33" spans="3:59" ht="13">
      <c r="C33" s="4"/>
      <c r="D33" s="4" t="s">
        <v>20</v>
      </c>
      <c r="E33" s="4"/>
      <c r="F33" s="4"/>
      <c r="G33" s="214"/>
      <c r="H33" s="214"/>
      <c r="I33" s="214"/>
      <c r="J33" s="214"/>
      <c r="K33" s="4"/>
      <c r="L33" s="4"/>
      <c r="M33" s="4"/>
      <c r="N33" s="4"/>
      <c r="O33" s="4"/>
      <c r="R33" s="4"/>
      <c r="S33" s="4"/>
      <c r="T33" s="105" t="s">
        <v>96</v>
      </c>
      <c r="U33" s="4"/>
      <c r="V33" s="4"/>
      <c r="W33" s="4"/>
      <c r="X33" s="105" t="s">
        <v>93</v>
      </c>
      <c r="Y33" s="4"/>
    </row>
    <row r="34" spans="3:59" ht="15">
      <c r="C34" s="4"/>
      <c r="D34" s="208" t="s">
        <v>70</v>
      </c>
      <c r="E34" s="209"/>
      <c r="F34" s="4" t="s">
        <v>53</v>
      </c>
      <c r="G34" s="4"/>
      <c r="H34" s="4"/>
      <c r="I34" s="4"/>
      <c r="J34" s="4"/>
      <c r="K34" s="39"/>
      <c r="L34" s="56"/>
      <c r="M34" s="39" t="str">
        <f>IF(OR(L34="",L34=AU34),"","*")</f>
        <v/>
      </c>
      <c r="N34" s="4"/>
      <c r="O34" s="4"/>
      <c r="R34" s="4"/>
      <c r="S34" s="4"/>
      <c r="T34" s="105" t="s">
        <v>97</v>
      </c>
      <c r="U34" s="4"/>
      <c r="V34" s="105" t="s">
        <v>98</v>
      </c>
      <c r="W34" s="4"/>
      <c r="X34" s="105" t="s">
        <v>100</v>
      </c>
      <c r="Y34" s="4"/>
      <c r="AU34" s="56">
        <f>AW27</f>
        <v>9639.7999999999993</v>
      </c>
      <c r="AW34" s="4"/>
      <c r="AZ34" s="1"/>
      <c r="BA34" s="1"/>
      <c r="BB34" s="105" t="s">
        <v>96</v>
      </c>
      <c r="BC34" s="4"/>
      <c r="BD34" s="4" t="s">
        <v>93</v>
      </c>
      <c r="BE34" s="1"/>
      <c r="BF34" s="1"/>
      <c r="BG34" s="1"/>
    </row>
    <row r="35" spans="3:59" ht="15.5">
      <c r="C35" s="4"/>
      <c r="D35" s="208"/>
      <c r="E35" s="209"/>
      <c r="F35" s="59"/>
      <c r="G35" s="4" t="s">
        <v>54</v>
      </c>
      <c r="H35" s="4"/>
      <c r="I35" s="4"/>
      <c r="J35" s="4"/>
      <c r="K35" s="39"/>
      <c r="L35" s="4"/>
      <c r="M35" s="39" t="s">
        <v>52</v>
      </c>
      <c r="N35" s="56"/>
      <c r="O35" s="39" t="str">
        <f t="shared" ref="O35:O44" si="36">IF(OR(N35="",N35=AW35),"","*")</f>
        <v/>
      </c>
      <c r="R35" s="4" t="s">
        <v>99</v>
      </c>
      <c r="S35" s="4"/>
      <c r="T35" s="191"/>
      <c r="U35" s="39" t="str">
        <f>IF(OR(T35="",T35=BB36),"","*")</f>
        <v/>
      </c>
      <c r="V35" s="192"/>
      <c r="W35" s="155" t="str">
        <f>IF(OR(V35="",V35=BC36),"","*")</f>
        <v/>
      </c>
      <c r="X35" s="191"/>
      <c r="Y35" s="155" t="str">
        <f>IF(OR(X35="",X35=BD36),"","*")</f>
        <v/>
      </c>
      <c r="AU35" s="4"/>
      <c r="AW35" s="56">
        <f>AX27</f>
        <v>597.67999999999995</v>
      </c>
      <c r="AZ35" s="1"/>
      <c r="BA35" s="1"/>
      <c r="BB35" s="105" t="s">
        <v>97</v>
      </c>
      <c r="BC35" s="4" t="s">
        <v>98</v>
      </c>
      <c r="BD35" s="4" t="s">
        <v>100</v>
      </c>
      <c r="BE35" s="1"/>
      <c r="BF35" s="1"/>
      <c r="BG35" s="1"/>
    </row>
    <row r="36" spans="3:59" ht="15">
      <c r="C36" s="4"/>
      <c r="D36" s="4"/>
      <c r="E36" s="4"/>
      <c r="F36" s="59"/>
      <c r="G36" s="4" t="s">
        <v>55</v>
      </c>
      <c r="H36" s="4"/>
      <c r="I36" s="4"/>
      <c r="J36" s="4"/>
      <c r="K36" s="39"/>
      <c r="L36" s="4"/>
      <c r="M36" s="39" t="s">
        <v>52</v>
      </c>
      <c r="N36" s="56"/>
      <c r="O36" s="39" t="str">
        <f t="shared" si="36"/>
        <v/>
      </c>
      <c r="R36" s="4"/>
      <c r="S36" s="4"/>
      <c r="T36" s="4"/>
      <c r="U36" s="4"/>
      <c r="V36" s="4"/>
      <c r="W36" s="4"/>
      <c r="X36" s="105" t="s">
        <v>101</v>
      </c>
      <c r="Y36" s="4"/>
      <c r="AU36" s="4"/>
      <c r="AW36" s="56">
        <f>AY27</f>
        <v>139.77000000000001</v>
      </c>
      <c r="AZ36" s="1"/>
      <c r="BA36" s="1"/>
      <c r="BB36" s="151">
        <f>BJ27</f>
        <v>9639.7999999999993</v>
      </c>
      <c r="BC36" s="150">
        <f>BJ15</f>
        <v>6.0000000000000001E-3</v>
      </c>
      <c r="BD36" s="153">
        <f>BB36*BC36</f>
        <v>57.84</v>
      </c>
      <c r="BE36" s="1"/>
      <c r="BF36" s="1"/>
      <c r="BG36" s="1"/>
    </row>
    <row r="37" spans="3:59" ht="15.5">
      <c r="C37" s="4"/>
      <c r="D37" s="4"/>
      <c r="E37" s="4"/>
      <c r="F37" s="59"/>
      <c r="G37" s="4" t="s">
        <v>56</v>
      </c>
      <c r="H37" s="4"/>
      <c r="I37" s="4"/>
      <c r="J37" s="4"/>
      <c r="K37" s="39"/>
      <c r="L37" s="4"/>
      <c r="M37" s="39" t="s">
        <v>52</v>
      </c>
      <c r="N37" s="56"/>
      <c r="O37" s="39" t="str">
        <f t="shared" si="36"/>
        <v/>
      </c>
      <c r="R37" s="4" t="s">
        <v>16</v>
      </c>
      <c r="S37" s="4"/>
      <c r="T37" s="191"/>
      <c r="U37" s="155" t="str">
        <f>IF(OR(T37="",T37=BB38),"","*")</f>
        <v/>
      </c>
      <c r="V37" s="202"/>
      <c r="W37" s="155" t="str">
        <f>IF(OR(V37="",V37=BC38),"","*")</f>
        <v/>
      </c>
      <c r="X37" s="191"/>
      <c r="Y37" s="155" t="str">
        <f>IF(OR(X37="",X37=BD38),"","*")</f>
        <v/>
      </c>
      <c r="AU37" s="4"/>
      <c r="AW37" s="56">
        <f>AZ27</f>
        <v>772.76</v>
      </c>
      <c r="AZ37" s="1"/>
      <c r="BA37" s="1"/>
      <c r="BB37" s="152"/>
      <c r="BC37" s="4"/>
      <c r="BD37" s="154" t="s">
        <v>101</v>
      </c>
      <c r="BE37" s="1"/>
      <c r="BF37" s="1"/>
      <c r="BG37" s="1"/>
    </row>
    <row r="38" spans="3:59" ht="15">
      <c r="C38" s="4"/>
      <c r="D38" s="4"/>
      <c r="E38" s="4"/>
      <c r="F38" s="4"/>
      <c r="G38" s="4" t="s">
        <v>57</v>
      </c>
      <c r="H38" s="4"/>
      <c r="I38" s="4"/>
      <c r="J38" s="4"/>
      <c r="K38" s="39"/>
      <c r="L38" s="4"/>
      <c r="M38" s="4"/>
      <c r="N38" s="56"/>
      <c r="O38" s="39" t="str">
        <f t="shared" si="36"/>
        <v/>
      </c>
      <c r="AU38" s="4"/>
      <c r="AW38" s="56">
        <f>BA27</f>
        <v>295.95999999999998</v>
      </c>
      <c r="AZ38" s="1"/>
      <c r="BA38" s="1"/>
      <c r="BB38" s="152">
        <f>BK27</f>
        <v>9639.7999999999993</v>
      </c>
      <c r="BC38" s="150">
        <f>BK15</f>
        <v>3.6784999999999998E-2</v>
      </c>
      <c r="BD38" s="153">
        <f>BB38*BC38</f>
        <v>354.6</v>
      </c>
      <c r="BE38" s="1"/>
      <c r="BF38" s="1"/>
      <c r="BG38" s="1"/>
    </row>
    <row r="39" spans="3:59" ht="15">
      <c r="C39" s="4"/>
      <c r="D39" s="208"/>
      <c r="E39" s="209"/>
      <c r="F39" s="59"/>
      <c r="G39" s="4" t="s">
        <v>58</v>
      </c>
      <c r="H39" s="4"/>
      <c r="I39" s="4"/>
      <c r="J39" s="4"/>
      <c r="K39" s="39"/>
      <c r="L39" s="4"/>
      <c r="M39" s="39" t="s">
        <v>52</v>
      </c>
      <c r="N39" s="56"/>
      <c r="O39" s="39" t="str">
        <f t="shared" si="36"/>
        <v/>
      </c>
      <c r="AU39" s="4"/>
      <c r="AW39" s="56">
        <f>BB27</f>
        <v>6.76</v>
      </c>
    </row>
    <row r="40" spans="3:59" ht="15">
      <c r="C40" s="4"/>
      <c r="D40" s="4"/>
      <c r="E40" s="4"/>
      <c r="F40" s="59"/>
      <c r="G40" s="4" t="s">
        <v>59</v>
      </c>
      <c r="H40" s="4"/>
      <c r="I40" s="4"/>
      <c r="J40" s="4"/>
      <c r="K40" s="39"/>
      <c r="L40" s="4"/>
      <c r="M40" s="39" t="s">
        <v>52</v>
      </c>
      <c r="N40" s="56"/>
      <c r="O40" s="39" t="str">
        <f t="shared" si="36"/>
        <v/>
      </c>
      <c r="AU40" s="4"/>
      <c r="AW40" s="56">
        <f>BC27</f>
        <v>128.19</v>
      </c>
    </row>
    <row r="41" spans="3:59" ht="15">
      <c r="C41" s="4"/>
      <c r="D41" s="4"/>
      <c r="E41" s="4"/>
      <c r="F41" s="59"/>
      <c r="G41" s="4" t="s">
        <v>60</v>
      </c>
      <c r="H41" s="4"/>
      <c r="I41" s="4"/>
      <c r="J41" s="4"/>
      <c r="K41" s="39"/>
      <c r="L41" s="4"/>
      <c r="M41" s="39" t="s">
        <v>52</v>
      </c>
      <c r="N41" s="56"/>
      <c r="O41" s="39" t="str">
        <f t="shared" si="36"/>
        <v/>
      </c>
      <c r="AU41" s="4"/>
      <c r="AW41" s="56">
        <f>BD27</f>
        <v>440</v>
      </c>
    </row>
    <row r="42" spans="3:59" ht="15">
      <c r="C42" s="4"/>
      <c r="D42" s="4"/>
      <c r="E42" s="4"/>
      <c r="F42" s="4"/>
      <c r="G42" s="4" t="s">
        <v>61</v>
      </c>
      <c r="H42" s="4"/>
      <c r="I42" s="4"/>
      <c r="J42" s="4"/>
      <c r="K42" s="39"/>
      <c r="L42" s="4"/>
      <c r="M42" s="4"/>
      <c r="N42" s="56"/>
      <c r="O42" s="39" t="str">
        <f t="shared" si="36"/>
        <v/>
      </c>
      <c r="AU42" s="4"/>
      <c r="AW42" s="56">
        <f>BE27</f>
        <v>6.8</v>
      </c>
    </row>
    <row r="43" spans="3:59" ht="15">
      <c r="C43" s="4"/>
      <c r="D43" s="4"/>
      <c r="E43" s="4"/>
      <c r="F43" s="4"/>
      <c r="G43" s="4" t="s">
        <v>62</v>
      </c>
      <c r="H43" s="4"/>
      <c r="I43" s="4"/>
      <c r="J43" s="4"/>
      <c r="K43" s="39"/>
      <c r="L43" s="4"/>
      <c r="M43" s="39" t="s">
        <v>52</v>
      </c>
      <c r="N43" s="56"/>
      <c r="O43" s="39" t="str">
        <f t="shared" si="36"/>
        <v/>
      </c>
      <c r="AU43" s="4"/>
      <c r="AW43" s="56">
        <f>BF27</f>
        <v>16.5</v>
      </c>
    </row>
    <row r="44" spans="3:59" ht="15">
      <c r="C44" s="4"/>
      <c r="D44" s="4"/>
      <c r="E44" s="4"/>
      <c r="F44" s="4"/>
      <c r="G44" s="4" t="s">
        <v>63</v>
      </c>
      <c r="H44" s="4"/>
      <c r="I44" s="4"/>
      <c r="J44" s="4"/>
      <c r="K44" s="39"/>
      <c r="L44" s="4"/>
      <c r="M44" s="4"/>
      <c r="N44" s="56"/>
      <c r="O44" s="39" t="str">
        <f t="shared" si="36"/>
        <v/>
      </c>
      <c r="AU44" s="4"/>
      <c r="AW44" s="56">
        <f>BG27</f>
        <v>7235.38</v>
      </c>
    </row>
    <row r="45" spans="3:59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AU45" s="4"/>
      <c r="AW45" s="4"/>
    </row>
    <row r="46" spans="3:59" ht="15">
      <c r="C46" s="4"/>
      <c r="D46" s="210" t="s">
        <v>71</v>
      </c>
      <c r="E46" s="209"/>
      <c r="F46" s="4" t="s">
        <v>67</v>
      </c>
      <c r="G46" s="4"/>
      <c r="H46" s="4"/>
      <c r="I46" s="4"/>
      <c r="J46" s="4"/>
      <c r="K46" s="39"/>
      <c r="L46" s="56"/>
      <c r="M46" s="39" t="str">
        <f>IF(OR(L46="",L46=AU46),"","*")</f>
        <v/>
      </c>
      <c r="N46" s="4"/>
      <c r="O46" s="4"/>
      <c r="AU46" s="56">
        <f>SUM(AW47:AW50)</f>
        <v>1149.8900000000001</v>
      </c>
      <c r="AW46" s="4"/>
    </row>
    <row r="47" spans="3:59" ht="15">
      <c r="C47" s="4"/>
      <c r="D47" s="4"/>
      <c r="E47" s="4"/>
      <c r="F47" s="59"/>
      <c r="G47" s="4" t="s">
        <v>54</v>
      </c>
      <c r="H47" s="4"/>
      <c r="I47" s="4"/>
      <c r="J47" s="4"/>
      <c r="K47" s="39"/>
      <c r="L47" s="4"/>
      <c r="M47" s="39" t="s">
        <v>52</v>
      </c>
      <c r="N47" s="56"/>
      <c r="O47" s="39" t="str">
        <f>IF(OR(N47="",N47=AW47),"","*")</f>
        <v/>
      </c>
      <c r="AU47" s="4"/>
      <c r="AW47" s="56">
        <f>BH27*BH15</f>
        <v>597.66999999999996</v>
      </c>
    </row>
    <row r="48" spans="3:59" ht="15">
      <c r="C48" s="4"/>
      <c r="D48" s="4"/>
      <c r="E48" s="4"/>
      <c r="F48" s="59"/>
      <c r="G48" s="4" t="s">
        <v>55</v>
      </c>
      <c r="H48" s="4"/>
      <c r="I48" s="4"/>
      <c r="J48" s="4"/>
      <c r="K48" s="39"/>
      <c r="L48" s="4"/>
      <c r="M48" s="39" t="s">
        <v>52</v>
      </c>
      <c r="N48" s="56"/>
      <c r="O48" s="39" t="str">
        <f>IF(OR(N48="",N48=AW48),"","*")</f>
        <v/>
      </c>
      <c r="AU48" s="4"/>
      <c r="AW48" s="56">
        <f>BI27*BI15</f>
        <v>139.78</v>
      </c>
    </row>
    <row r="49" spans="3:49" ht="15">
      <c r="C49" s="4"/>
      <c r="D49" s="4"/>
      <c r="E49" s="4"/>
      <c r="F49" s="59"/>
      <c r="G49" s="4" t="s">
        <v>68</v>
      </c>
      <c r="H49" s="4"/>
      <c r="I49" s="4"/>
      <c r="J49" s="4"/>
      <c r="K49" s="39"/>
      <c r="L49" s="4"/>
      <c r="M49" s="39" t="s">
        <v>52</v>
      </c>
      <c r="N49" s="56"/>
      <c r="O49" s="39" t="str">
        <f>IF(OR(N49="",N49=AW49),"","*")</f>
        <v/>
      </c>
      <c r="AU49" s="4"/>
      <c r="AW49" s="56">
        <f>BJ27*BJ15</f>
        <v>57.84</v>
      </c>
    </row>
    <row r="50" spans="3:49" ht="15">
      <c r="C50" s="4"/>
      <c r="D50" s="4"/>
      <c r="E50" s="4"/>
      <c r="F50" s="4"/>
      <c r="G50" s="4" t="s">
        <v>69</v>
      </c>
      <c r="H50" s="4"/>
      <c r="I50" s="4"/>
      <c r="J50" s="4"/>
      <c r="K50" s="39"/>
      <c r="L50" s="4"/>
      <c r="M50" s="4"/>
      <c r="N50" s="56"/>
      <c r="O50" s="39" t="str">
        <f>IF(OR(N50="",N50=AW50),"","*")</f>
        <v/>
      </c>
      <c r="AU50" s="4"/>
      <c r="AW50" s="56">
        <f>BK27*BK15</f>
        <v>354.6</v>
      </c>
    </row>
    <row r="51" spans="3:49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AU51" s="4"/>
      <c r="AW51" s="4"/>
    </row>
    <row r="52" spans="3:49" ht="15">
      <c r="C52" s="4"/>
      <c r="D52" s="210" t="s">
        <v>64</v>
      </c>
      <c r="E52" s="209"/>
      <c r="F52" s="4" t="s">
        <v>65</v>
      </c>
      <c r="G52" s="4"/>
      <c r="H52" s="4"/>
      <c r="I52" s="4"/>
      <c r="J52" s="4"/>
      <c r="K52" s="39"/>
      <c r="L52" s="56"/>
      <c r="M52" s="39" t="str">
        <f>IF(OR(L52="",L52=AU52),"","*")</f>
        <v/>
      </c>
      <c r="N52" s="4"/>
      <c r="O52" s="4"/>
      <c r="AU52" s="56">
        <f>BG27</f>
        <v>7235.38</v>
      </c>
      <c r="AW52" s="4"/>
    </row>
    <row r="53" spans="3:49" ht="15">
      <c r="C53" s="4"/>
      <c r="D53" s="4"/>
      <c r="E53" s="4"/>
      <c r="F53" s="59"/>
      <c r="G53" s="4" t="s">
        <v>66</v>
      </c>
      <c r="H53" s="4"/>
      <c r="I53" s="4"/>
      <c r="J53" s="4"/>
      <c r="K53" s="39"/>
      <c r="L53" s="4"/>
      <c r="M53" s="39" t="s">
        <v>52</v>
      </c>
      <c r="N53" s="56"/>
      <c r="O53" s="39" t="str">
        <f>IF(OR(N53="",N53=AW53),"","*")</f>
        <v/>
      </c>
      <c r="AU53" s="4"/>
      <c r="AW53" s="56">
        <f>BG27</f>
        <v>7235.38</v>
      </c>
    </row>
    <row r="54" spans="3:49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3:49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3:49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</sheetData>
  <sheetProtection password="F4C4" sheet="1" objects="1" scenarios="1"/>
  <mergeCells count="34">
    <mergeCell ref="AF16:AG16"/>
    <mergeCell ref="P15:R15"/>
    <mergeCell ref="AD15:AE15"/>
    <mergeCell ref="AD16:AE16"/>
    <mergeCell ref="AH13:AJ13"/>
    <mergeCell ref="AK13:AR13"/>
    <mergeCell ref="BH14:BK14"/>
    <mergeCell ref="P14:R14"/>
    <mergeCell ref="P13:AF13"/>
    <mergeCell ref="B1:K1"/>
    <mergeCell ref="A7:AR7"/>
    <mergeCell ref="A8:AJ8"/>
    <mergeCell ref="A9:AJ9"/>
    <mergeCell ref="A10:AR10"/>
    <mergeCell ref="D11:H11"/>
    <mergeCell ref="D13:D16"/>
    <mergeCell ref="G14:G16"/>
    <mergeCell ref="J14:J16"/>
    <mergeCell ref="K14:K16"/>
    <mergeCell ref="J13:M13"/>
    <mergeCell ref="E13:E16"/>
    <mergeCell ref="F13:I13"/>
    <mergeCell ref="C30:O30"/>
    <mergeCell ref="D32:E32"/>
    <mergeCell ref="G32:J32"/>
    <mergeCell ref="F14:F16"/>
    <mergeCell ref="A15:C15"/>
    <mergeCell ref="A16:C16"/>
    <mergeCell ref="D46:E46"/>
    <mergeCell ref="D52:E52"/>
    <mergeCell ref="G33:J33"/>
    <mergeCell ref="D34:E34"/>
    <mergeCell ref="D35:E35"/>
    <mergeCell ref="D39:E39"/>
  </mergeCells>
  <phoneticPr fontId="16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56"/>
  <sheetViews>
    <sheetView showGridLines="0" workbookViewId="0">
      <selection activeCell="B1" sqref="B1:K1"/>
    </sheetView>
  </sheetViews>
  <sheetFormatPr defaultRowHeight="12.5"/>
  <cols>
    <col min="3" max="3" width="2.453125" customWidth="1"/>
    <col min="4" max="4" width="5.54296875" customWidth="1"/>
    <col min="5" max="5" width="4.453125" customWidth="1"/>
    <col min="6" max="6" width="5.90625" customWidth="1"/>
    <col min="8" max="8" width="9.1796875" bestFit="1" customWidth="1"/>
    <col min="9" max="9" width="3.453125" customWidth="1"/>
    <col min="10" max="10" width="5.08984375" customWidth="1"/>
    <col min="11" max="11" width="7.08984375" customWidth="1"/>
    <col min="12" max="12" width="9.26953125" customWidth="1"/>
    <col min="13" max="13" width="3.7265625" customWidth="1"/>
    <col min="14" max="14" width="9.6328125" customWidth="1"/>
    <col min="15" max="15" width="3.36328125" customWidth="1"/>
    <col min="17" max="17" width="2.90625" customWidth="1"/>
    <col min="19" max="19" width="3.08984375" customWidth="1"/>
    <col min="20" max="20" width="9.54296875" customWidth="1"/>
    <col min="21" max="21" width="3" customWidth="1"/>
    <col min="22" max="22" width="10" customWidth="1"/>
    <col min="23" max="23" width="3.26953125" customWidth="1"/>
    <col min="24" max="24" width="9.6328125" customWidth="1"/>
    <col min="25" max="25" width="2.90625" customWidth="1"/>
    <col min="27" max="27" width="3" customWidth="1"/>
    <col min="29" max="29" width="3.26953125" customWidth="1"/>
    <col min="31" max="31" width="2.6328125" customWidth="1"/>
    <col min="33" max="33" width="2.6328125" customWidth="1"/>
    <col min="36" max="36" width="2.90625" customWidth="1"/>
    <col min="37" max="37" width="9.90625" customWidth="1"/>
    <col min="38" max="38" width="3.1796875" customWidth="1"/>
    <col min="39" max="39" width="10" customWidth="1"/>
    <col min="40" max="40" width="3.1796875" customWidth="1"/>
    <col min="41" max="41" width="9.7265625" customWidth="1"/>
    <col min="42" max="42" width="2.81640625" customWidth="1"/>
    <col min="43" max="43" width="9.90625" customWidth="1"/>
    <col min="44" max="44" width="2.90625" customWidth="1"/>
    <col min="45" max="45" width="8.7265625" hidden="1" customWidth="1"/>
    <col min="46" max="47" width="9.1796875" hidden="1" customWidth="1"/>
    <col min="48" max="48" width="3.54296875" hidden="1" customWidth="1"/>
    <col min="49" max="49" width="9.1796875" hidden="1" customWidth="1"/>
    <col min="50" max="58" width="8.7265625" hidden="1" customWidth="1"/>
    <col min="59" max="63" width="9.1796875" hidden="1" customWidth="1"/>
  </cols>
  <sheetData>
    <row r="1" spans="1:63" ht="13">
      <c r="A1" s="2" t="s">
        <v>17</v>
      </c>
      <c r="B1" s="215" t="s">
        <v>72</v>
      </c>
      <c r="C1" s="215"/>
      <c r="D1" s="215"/>
      <c r="E1" s="215"/>
      <c r="F1" s="215"/>
      <c r="G1" s="215"/>
      <c r="H1" s="215"/>
      <c r="I1" s="215"/>
      <c r="J1" s="215"/>
      <c r="K1" s="215"/>
    </row>
    <row r="2" spans="1:63" ht="13">
      <c r="A2" s="75" t="s">
        <v>150</v>
      </c>
    </row>
    <row r="3" spans="1:63">
      <c r="A3" s="8" t="s">
        <v>19</v>
      </c>
      <c r="B3" s="8"/>
      <c r="C3" s="8"/>
    </row>
    <row r="4" spans="1:63" ht="13">
      <c r="A4" s="75" t="s">
        <v>162</v>
      </c>
      <c r="B4" s="75"/>
      <c r="C4" s="8"/>
    </row>
    <row r="6" spans="1:63" ht="13">
      <c r="A6" s="6" t="s">
        <v>75</v>
      </c>
      <c r="B6" s="6"/>
      <c r="C6" s="7"/>
    </row>
    <row r="7" spans="1:63" ht="13">
      <c r="A7" s="214" t="s">
        <v>76</v>
      </c>
      <c r="B7" s="214"/>
      <c r="C7" s="214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1"/>
    </row>
    <row r="8" spans="1:63" ht="13">
      <c r="A8" s="244"/>
      <c r="B8" s="244"/>
      <c r="C8" s="244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4"/>
      <c r="AL8" s="4"/>
      <c r="AM8" s="4"/>
      <c r="AN8" s="4"/>
      <c r="AO8" s="4"/>
      <c r="AP8" s="4"/>
      <c r="AQ8" s="4"/>
      <c r="AR8" s="4"/>
      <c r="AS8" s="1"/>
    </row>
    <row r="9" spans="1:63" ht="13">
      <c r="A9" s="244"/>
      <c r="B9" s="244"/>
      <c r="C9" s="244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4"/>
      <c r="AL9" s="4"/>
      <c r="AM9" s="4"/>
      <c r="AN9" s="4"/>
      <c r="AO9" s="4"/>
      <c r="AP9" s="4"/>
      <c r="AQ9" s="4"/>
      <c r="AR9" s="4"/>
      <c r="AS9" s="1"/>
    </row>
    <row r="10" spans="1:63">
      <c r="A10" s="246" t="s">
        <v>7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1"/>
    </row>
    <row r="11" spans="1:63">
      <c r="A11" s="40" t="s">
        <v>18</v>
      </c>
      <c r="B11" s="40"/>
      <c r="C11" s="40"/>
      <c r="D11" s="239" t="s">
        <v>42</v>
      </c>
      <c r="E11" s="240"/>
      <c r="F11" s="240"/>
      <c r="G11" s="240"/>
      <c r="H11" s="240"/>
      <c r="I11" s="12"/>
      <c r="J11" s="12"/>
      <c r="K11" s="12"/>
      <c r="L11" s="12"/>
      <c r="M11" s="22"/>
      <c r="N11" s="12"/>
      <c r="O11" s="12"/>
      <c r="P11" s="12"/>
      <c r="Q11" s="12"/>
      <c r="R11" s="12"/>
      <c r="S11" s="12"/>
      <c r="T11" s="13"/>
      <c r="U11" s="13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4"/>
      <c r="AL11" s="4"/>
      <c r="AM11" s="4"/>
      <c r="AN11" s="4"/>
      <c r="AO11" s="4"/>
      <c r="AP11" s="4"/>
      <c r="AQ11" s="4"/>
      <c r="AR11" s="4"/>
      <c r="AS11" s="1"/>
    </row>
    <row r="12" spans="1:63" ht="13" thickBo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96"/>
      <c r="AX12" t="s">
        <v>129</v>
      </c>
      <c r="AY12" t="s">
        <v>1</v>
      </c>
      <c r="BA12" t="s">
        <v>130</v>
      </c>
      <c r="BB12" t="s">
        <v>131</v>
      </c>
      <c r="BC12" t="s">
        <v>132</v>
      </c>
    </row>
    <row r="13" spans="1:63" ht="13" thickTop="1">
      <c r="A13" s="15"/>
      <c r="B13" s="16"/>
      <c r="C13" s="54"/>
      <c r="D13" s="237" t="s">
        <v>10</v>
      </c>
      <c r="E13" s="247" t="s">
        <v>11</v>
      </c>
      <c r="F13" s="216" t="s">
        <v>37</v>
      </c>
      <c r="G13" s="218"/>
      <c r="H13" s="218"/>
      <c r="I13" s="219"/>
      <c r="J13" s="216" t="s">
        <v>43</v>
      </c>
      <c r="K13" s="218"/>
      <c r="L13" s="218"/>
      <c r="M13" s="219"/>
      <c r="N13" s="49"/>
      <c r="O13" s="43"/>
      <c r="P13" s="241" t="s">
        <v>6</v>
      </c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7"/>
      <c r="AH13" s="216" t="s">
        <v>48</v>
      </c>
      <c r="AI13" s="242"/>
      <c r="AJ13" s="243"/>
      <c r="AK13" s="216" t="s">
        <v>51</v>
      </c>
      <c r="AL13" s="217"/>
      <c r="AM13" s="217"/>
      <c r="AN13" s="217"/>
      <c r="AO13" s="217"/>
      <c r="AP13" s="218"/>
      <c r="AQ13" s="218"/>
      <c r="AR13" s="219"/>
      <c r="AS13" s="97"/>
      <c r="AW13" t="s">
        <v>133</v>
      </c>
      <c r="AX13">
        <v>6.2E-2</v>
      </c>
      <c r="AY13">
        <v>1.4500000000000001E-2</v>
      </c>
      <c r="BA13">
        <v>3.0700000000000002E-2</v>
      </c>
      <c r="BB13">
        <v>6.9999999999999999E-4</v>
      </c>
      <c r="BC13">
        <v>1.3299999999999999E-2</v>
      </c>
    </row>
    <row r="14" spans="1:63">
      <c r="A14" s="17"/>
      <c r="B14" s="10"/>
      <c r="C14" s="55"/>
      <c r="D14" s="238"/>
      <c r="E14" s="248"/>
      <c r="F14" s="220" t="s">
        <v>38</v>
      </c>
      <c r="G14" s="223" t="s">
        <v>39</v>
      </c>
      <c r="H14" s="9"/>
      <c r="I14" s="63"/>
      <c r="J14" s="220" t="s">
        <v>38</v>
      </c>
      <c r="K14" s="223" t="s">
        <v>39</v>
      </c>
      <c r="L14" s="9"/>
      <c r="M14" s="63"/>
      <c r="N14" s="41"/>
      <c r="O14" s="44"/>
      <c r="P14" s="226"/>
      <c r="Q14" s="226"/>
      <c r="R14" s="226"/>
      <c r="S14" s="32"/>
      <c r="T14" s="24"/>
      <c r="U14" s="28"/>
      <c r="V14" s="24"/>
      <c r="W14" s="28"/>
      <c r="X14" s="33"/>
      <c r="Y14" s="33"/>
      <c r="Z14" s="24"/>
      <c r="AA14" s="28"/>
      <c r="AB14" s="24"/>
      <c r="AC14" s="28"/>
      <c r="AD14" s="33"/>
      <c r="AE14" s="33"/>
      <c r="AF14" s="24"/>
      <c r="AG14" s="28"/>
      <c r="AH14" s="87"/>
      <c r="AI14" s="11"/>
      <c r="AJ14" s="23"/>
      <c r="AK14" s="24"/>
      <c r="AL14" s="28"/>
      <c r="AM14" s="24"/>
      <c r="AN14" s="28"/>
      <c r="AO14" s="24"/>
      <c r="AP14" s="28"/>
      <c r="AQ14" s="24"/>
      <c r="AR14" s="28"/>
      <c r="AS14" s="98"/>
      <c r="AW14" t="s">
        <v>134</v>
      </c>
      <c r="AX14">
        <v>6.2E-2</v>
      </c>
      <c r="AY14">
        <v>1.4500000000000001E-2</v>
      </c>
      <c r="BH14" s="249" t="s">
        <v>95</v>
      </c>
      <c r="BI14" s="249"/>
      <c r="BJ14" s="249"/>
      <c r="BK14" s="249"/>
    </row>
    <row r="15" spans="1:63">
      <c r="A15" s="229"/>
      <c r="B15" s="230"/>
      <c r="C15" s="231"/>
      <c r="D15" s="238"/>
      <c r="E15" s="248"/>
      <c r="F15" s="221"/>
      <c r="G15" s="224"/>
      <c r="H15" s="11"/>
      <c r="I15" s="23"/>
      <c r="J15" s="221"/>
      <c r="K15" s="224"/>
      <c r="L15" s="11"/>
      <c r="M15" s="23"/>
      <c r="N15" s="42" t="s">
        <v>12</v>
      </c>
      <c r="O15" s="45"/>
      <c r="P15" s="232" t="s">
        <v>2</v>
      </c>
      <c r="Q15" s="232"/>
      <c r="R15" s="232"/>
      <c r="S15" s="33"/>
      <c r="T15" s="24"/>
      <c r="U15" s="29"/>
      <c r="V15" s="24"/>
      <c r="W15" s="29"/>
      <c r="X15" s="33"/>
      <c r="Y15" s="33"/>
      <c r="Z15" s="24"/>
      <c r="AA15" s="29"/>
      <c r="AB15" s="24"/>
      <c r="AC15" s="29"/>
      <c r="AD15" s="233" t="s">
        <v>47</v>
      </c>
      <c r="AE15" s="234"/>
      <c r="AF15" s="86" t="s">
        <v>46</v>
      </c>
      <c r="AG15" s="29"/>
      <c r="AH15" s="88" t="s">
        <v>49</v>
      </c>
      <c r="AI15" s="11"/>
      <c r="AJ15" s="23"/>
      <c r="AK15" s="24"/>
      <c r="AL15" s="29"/>
      <c r="AM15" s="24"/>
      <c r="AN15" s="29"/>
      <c r="AO15" s="24"/>
      <c r="AP15" s="29"/>
      <c r="AQ15" s="24"/>
      <c r="AR15" s="29"/>
      <c r="AS15" s="98"/>
      <c r="BH15">
        <v>6.2E-2</v>
      </c>
      <c r="BI15">
        <v>1.4500000000000001E-2</v>
      </c>
      <c r="BJ15">
        <v>6.0000000000000001E-3</v>
      </c>
      <c r="BK15">
        <v>3.6784999999999998E-2</v>
      </c>
    </row>
    <row r="16" spans="1:63" ht="15.5" customHeight="1">
      <c r="A16" s="235" t="s">
        <v>26</v>
      </c>
      <c r="B16" s="232"/>
      <c r="C16" s="236"/>
      <c r="D16" s="238"/>
      <c r="E16" s="248"/>
      <c r="F16" s="222"/>
      <c r="G16" s="225"/>
      <c r="H16" s="72" t="s">
        <v>40</v>
      </c>
      <c r="I16" s="64"/>
      <c r="J16" s="222"/>
      <c r="K16" s="225"/>
      <c r="L16" s="72" t="s">
        <v>40</v>
      </c>
      <c r="M16" s="64"/>
      <c r="N16" s="93" t="s">
        <v>13</v>
      </c>
      <c r="O16" s="46"/>
      <c r="P16" s="81" t="s">
        <v>0</v>
      </c>
      <c r="Q16" s="82"/>
      <c r="R16" s="83" t="s">
        <v>1</v>
      </c>
      <c r="S16" s="34"/>
      <c r="T16" s="85" t="s">
        <v>3</v>
      </c>
      <c r="U16" s="31"/>
      <c r="V16" s="72" t="s">
        <v>4</v>
      </c>
      <c r="W16" s="29"/>
      <c r="X16" s="72" t="s">
        <v>16</v>
      </c>
      <c r="Y16" s="30"/>
      <c r="Z16" s="85" t="s">
        <v>5</v>
      </c>
      <c r="AA16" s="29"/>
      <c r="AB16" s="85" t="s">
        <v>44</v>
      </c>
      <c r="AC16" s="29"/>
      <c r="AD16" s="227" t="s">
        <v>45</v>
      </c>
      <c r="AE16" s="228"/>
      <c r="AF16" s="227" t="s">
        <v>45</v>
      </c>
      <c r="AG16" s="228"/>
      <c r="AH16" s="89" t="s">
        <v>50</v>
      </c>
      <c r="AI16" s="84" t="s">
        <v>40</v>
      </c>
      <c r="AJ16" s="21"/>
      <c r="AK16" s="85" t="s">
        <v>0</v>
      </c>
      <c r="AL16" s="29"/>
      <c r="AM16" s="85" t="s">
        <v>1</v>
      </c>
      <c r="AN16" s="29"/>
      <c r="AO16" s="85" t="s">
        <v>15</v>
      </c>
      <c r="AP16" s="29"/>
      <c r="AQ16" s="85" t="s">
        <v>16</v>
      </c>
      <c r="AR16" s="29"/>
      <c r="AS16" s="98"/>
      <c r="AT16" t="s">
        <v>87</v>
      </c>
      <c r="AU16" t="s">
        <v>88</v>
      </c>
      <c r="AW16" t="s">
        <v>89</v>
      </c>
      <c r="AX16" t="s">
        <v>0</v>
      </c>
      <c r="AY16" t="s">
        <v>1</v>
      </c>
      <c r="AZ16" t="s">
        <v>3</v>
      </c>
      <c r="BA16" t="s">
        <v>4</v>
      </c>
      <c r="BB16" t="s">
        <v>16</v>
      </c>
      <c r="BC16" t="s">
        <v>5</v>
      </c>
      <c r="BD16" t="s">
        <v>92</v>
      </c>
      <c r="BE16" t="s">
        <v>91</v>
      </c>
      <c r="BF16" t="s">
        <v>90</v>
      </c>
      <c r="BG16" t="s">
        <v>93</v>
      </c>
      <c r="BH16" t="s">
        <v>0</v>
      </c>
      <c r="BI16" t="s">
        <v>1</v>
      </c>
      <c r="BJ16" t="s">
        <v>15</v>
      </c>
      <c r="BK16" t="s">
        <v>16</v>
      </c>
    </row>
    <row r="17" spans="1:63" ht="15">
      <c r="A17" s="60" t="s">
        <v>94</v>
      </c>
      <c r="B17" s="102"/>
      <c r="C17" s="20"/>
      <c r="D17" s="193" t="s">
        <v>9</v>
      </c>
      <c r="E17" s="193">
        <v>1</v>
      </c>
      <c r="F17" s="176">
        <v>40</v>
      </c>
      <c r="G17" s="195">
        <v>18.5</v>
      </c>
      <c r="H17" s="73">
        <f>F17*G17</f>
        <v>740</v>
      </c>
      <c r="I17" s="35" t="str">
        <f t="shared" ref="I17:I27" si="0">IF(OR(H17="",H17=AT17),"","*")</f>
        <v/>
      </c>
      <c r="J17" s="77"/>
      <c r="K17" s="80"/>
      <c r="L17" s="66"/>
      <c r="M17" s="35" t="str">
        <f t="shared" ref="M17:M27" si="1">IF(OR(L17="",L17=AU17),"","*")</f>
        <v/>
      </c>
      <c r="N17" s="138">
        <f t="shared" ref="N17:N26" si="2">H17+L17</f>
        <v>740</v>
      </c>
      <c r="O17" s="35" t="str">
        <f t="shared" ref="O17:O27" si="3">IF(OR(N17="",N17=AW17),"","*")</f>
        <v/>
      </c>
      <c r="P17" s="142">
        <f>N17*0.062</f>
        <v>45.88</v>
      </c>
      <c r="Q17" s="35" t="str">
        <f t="shared" ref="Q17:Q27" si="4">IF(OR(P17="",P17=AX17),"","*")</f>
        <v/>
      </c>
      <c r="R17" s="143">
        <f t="shared" ref="R17:R26" si="5">N17*0.0145</f>
        <v>10.73</v>
      </c>
      <c r="S17" s="35" t="str">
        <f t="shared" ref="S17:S27" si="6">IF(OR(R17="",R17=AY17),"","*")</f>
        <v/>
      </c>
      <c r="T17" s="138">
        <v>82</v>
      </c>
      <c r="U17" s="35" t="str">
        <f t="shared" ref="U17:U27" si="7">IF(OR(T17="",T17=AZ17),"","*")</f>
        <v/>
      </c>
      <c r="V17" s="143">
        <f t="shared" ref="V17:V26" si="8">N17*0.0307</f>
        <v>22.72</v>
      </c>
      <c r="W17" s="35" t="str">
        <f t="shared" ref="W17:W27" si="9">IF(OR(V17="",V17=BA17),"","*")</f>
        <v/>
      </c>
      <c r="X17" s="134">
        <f>N17*0.0007</f>
        <v>0.52</v>
      </c>
      <c r="Y17" s="35" t="str">
        <f t="shared" ref="Y17:Y27" si="10">IF(OR(X17="",X17=BB17),"","*")</f>
        <v/>
      </c>
      <c r="Z17" s="143">
        <f>N17*0.0133</f>
        <v>9.84</v>
      </c>
      <c r="AA17" s="35" t="str">
        <f t="shared" ref="AA17:AA27" si="11">IF(OR(Z17="",Z17=BC17),"","*")</f>
        <v/>
      </c>
      <c r="AB17" s="143">
        <v>20</v>
      </c>
      <c r="AC17" s="35" t="str">
        <f t="shared" ref="AC17:AC27" si="12">IF(OR(AB17="",AB17=BD17),"","*")</f>
        <v/>
      </c>
      <c r="AD17" s="25"/>
      <c r="AE17" s="35" t="str">
        <f t="shared" ref="AE17:AE27" si="13">IF(OR(AD17="",AD17=BE17),"","*")</f>
        <v/>
      </c>
      <c r="AF17" s="25"/>
      <c r="AG17" s="35" t="str">
        <f t="shared" ref="AG17:AG27" si="14">IF(OR(AF17="",AF17=BF17),"","*")</f>
        <v/>
      </c>
      <c r="AH17" s="108"/>
      <c r="AI17" s="3"/>
      <c r="AJ17" s="35" t="str">
        <f t="shared" ref="AJ17:AJ27" si="15">IF(OR(AI17="",AI17=BG17),"","*")</f>
        <v/>
      </c>
      <c r="AK17" s="143">
        <f t="shared" ref="AK17:AK26" si="16">N17</f>
        <v>740</v>
      </c>
      <c r="AL17" s="35" t="str">
        <f t="shared" ref="AL17:AL27" si="17">IF(OR(AK17="",AK17=BH17),"","*")</f>
        <v/>
      </c>
      <c r="AM17" s="143">
        <f t="shared" ref="AM17:AM26" si="18">N17</f>
        <v>740</v>
      </c>
      <c r="AN17" s="35" t="str">
        <f t="shared" ref="AN17:AN27" si="19">IF(OR(AM17="",AM17=BI17),"","*")</f>
        <v/>
      </c>
      <c r="AO17" s="134">
        <f t="shared" ref="AO17:AO26" si="20">N17</f>
        <v>740</v>
      </c>
      <c r="AP17" s="35" t="str">
        <f t="shared" ref="AP17:AP27" si="21">IF(OR(AO17="",AO17=BJ17),"","*")</f>
        <v/>
      </c>
      <c r="AQ17" s="134">
        <f t="shared" ref="AQ17:AQ26" si="22">N17</f>
        <v>740</v>
      </c>
      <c r="AR17" s="35" t="str">
        <f t="shared" ref="AR17:AR27" si="23">IF(OR(AQ17="",AQ17=BK17),"","*")</f>
        <v/>
      </c>
      <c r="AS17" s="99"/>
      <c r="AT17" s="123">
        <f>18.5*40</f>
        <v>740</v>
      </c>
      <c r="AU17" s="123"/>
      <c r="AV17" s="123"/>
      <c r="AW17" s="123">
        <f>AT17+AU17</f>
        <v>740</v>
      </c>
      <c r="AX17" s="124">
        <f t="shared" ref="AX17:AX26" si="24">AW17*$AX$13</f>
        <v>45.88</v>
      </c>
      <c r="AY17" s="125">
        <f t="shared" ref="AY17:AY26" si="25">AW17*$AY$13</f>
        <v>10.73</v>
      </c>
      <c r="AZ17" s="126">
        <v>82</v>
      </c>
      <c r="BA17" s="125">
        <f t="shared" ref="BA17:BA26" si="26">AW17*$BA$13</f>
        <v>22.72</v>
      </c>
      <c r="BB17" s="125">
        <f t="shared" ref="BB17:BB26" si="27">AW17*$BB$13</f>
        <v>0.52</v>
      </c>
      <c r="BC17" s="125">
        <f t="shared" ref="BC17:BC26" si="28">AW17*$BC$13</f>
        <v>9.84</v>
      </c>
      <c r="BD17" s="125">
        <v>20</v>
      </c>
      <c r="BE17" s="125">
        <v>0.85</v>
      </c>
      <c r="BF17" s="125">
        <v>1.65</v>
      </c>
      <c r="BG17" s="127">
        <f t="shared" ref="BG17:BG26" si="29">AW17-SUM(AX17:BF17)</f>
        <v>545.80999999999995</v>
      </c>
      <c r="BH17" s="125">
        <f>AW17</f>
        <v>740</v>
      </c>
      <c r="BI17" s="125">
        <f>AW17</f>
        <v>740</v>
      </c>
      <c r="BJ17" s="125">
        <f>AW17</f>
        <v>740</v>
      </c>
      <c r="BK17" s="125">
        <f>AW17</f>
        <v>740</v>
      </c>
    </row>
    <row r="18" spans="1:63" ht="15">
      <c r="A18" s="18" t="s">
        <v>78</v>
      </c>
      <c r="B18" s="103"/>
      <c r="C18" s="20"/>
      <c r="D18" s="193" t="s">
        <v>9</v>
      </c>
      <c r="E18" s="193">
        <v>0</v>
      </c>
      <c r="F18" s="176">
        <v>40</v>
      </c>
      <c r="G18" s="195">
        <v>19.25</v>
      </c>
      <c r="H18" s="67">
        <f>F18*G18</f>
        <v>770</v>
      </c>
      <c r="I18" s="35" t="str">
        <f t="shared" si="0"/>
        <v/>
      </c>
      <c r="J18" s="78">
        <v>10</v>
      </c>
      <c r="K18" s="94">
        <f>G18*1.5</f>
        <v>28.88</v>
      </c>
      <c r="L18" s="68">
        <f>J18*K18</f>
        <v>288.8</v>
      </c>
      <c r="M18" s="35" t="str">
        <f t="shared" si="1"/>
        <v/>
      </c>
      <c r="N18" s="138">
        <f t="shared" si="2"/>
        <v>1058.8</v>
      </c>
      <c r="O18" s="36" t="str">
        <f t="shared" si="3"/>
        <v/>
      </c>
      <c r="P18" s="142">
        <f t="shared" ref="P18:P26" si="30">N18*0.062</f>
        <v>65.650000000000006</v>
      </c>
      <c r="Q18" s="36" t="str">
        <f t="shared" si="4"/>
        <v/>
      </c>
      <c r="R18" s="143">
        <f t="shared" si="5"/>
        <v>15.35</v>
      </c>
      <c r="S18" s="36" t="str">
        <f t="shared" si="6"/>
        <v/>
      </c>
      <c r="T18" s="147">
        <v>159</v>
      </c>
      <c r="U18" s="36" t="str">
        <f t="shared" si="7"/>
        <v/>
      </c>
      <c r="V18" s="143">
        <f t="shared" si="8"/>
        <v>32.51</v>
      </c>
      <c r="W18" s="36" t="str">
        <f t="shared" si="9"/>
        <v/>
      </c>
      <c r="X18" s="134">
        <f t="shared" ref="X18:X26" si="31">N18*0.0007</f>
        <v>0.74</v>
      </c>
      <c r="Y18" s="36" t="str">
        <f t="shared" si="10"/>
        <v/>
      </c>
      <c r="Z18" s="142">
        <f t="shared" ref="Z18:Z26" si="32">N18*0.0133</f>
        <v>14.08</v>
      </c>
      <c r="AA18" s="36" t="str">
        <f t="shared" si="11"/>
        <v/>
      </c>
      <c r="AB18" s="142">
        <v>50</v>
      </c>
      <c r="AC18" s="36" t="str">
        <f t="shared" si="12"/>
        <v/>
      </c>
      <c r="AD18" s="26"/>
      <c r="AE18" s="36" t="str">
        <f t="shared" si="13"/>
        <v/>
      </c>
      <c r="AF18" s="26"/>
      <c r="AG18" s="36" t="str">
        <f t="shared" si="14"/>
        <v/>
      </c>
      <c r="AH18" s="90"/>
      <c r="AI18" s="92"/>
      <c r="AJ18" s="36" t="str">
        <f t="shared" si="15"/>
        <v/>
      </c>
      <c r="AK18" s="143">
        <f t="shared" si="16"/>
        <v>1058.8</v>
      </c>
      <c r="AL18" s="36" t="str">
        <f t="shared" si="17"/>
        <v/>
      </c>
      <c r="AM18" s="143">
        <f t="shared" si="18"/>
        <v>1058.8</v>
      </c>
      <c r="AN18" s="36" t="str">
        <f t="shared" si="19"/>
        <v/>
      </c>
      <c r="AO18" s="134">
        <f t="shared" si="20"/>
        <v>1058.8</v>
      </c>
      <c r="AP18" s="36" t="str">
        <f t="shared" si="21"/>
        <v/>
      </c>
      <c r="AQ18" s="134">
        <f t="shared" si="22"/>
        <v>1058.8</v>
      </c>
      <c r="AR18" s="36" t="str">
        <f t="shared" si="23"/>
        <v/>
      </c>
      <c r="AS18" s="99"/>
      <c r="AT18" s="123">
        <f>19.25*40</f>
        <v>770</v>
      </c>
      <c r="AU18" s="123">
        <f>ROUND(19.25*1.5,2)*10</f>
        <v>288.8</v>
      </c>
      <c r="AV18" s="123"/>
      <c r="AW18" s="123">
        <f t="shared" ref="AW18:AW26" si="33">AT18+AU18</f>
        <v>1058.8</v>
      </c>
      <c r="AX18" s="124">
        <f t="shared" si="24"/>
        <v>65.650000000000006</v>
      </c>
      <c r="AY18" s="124">
        <f t="shared" si="25"/>
        <v>15.35</v>
      </c>
      <c r="AZ18" s="128">
        <v>159</v>
      </c>
      <c r="BA18" s="125">
        <f t="shared" si="26"/>
        <v>32.51</v>
      </c>
      <c r="BB18" s="125">
        <f t="shared" si="27"/>
        <v>0.74</v>
      </c>
      <c r="BC18" s="125">
        <f t="shared" si="28"/>
        <v>14.08</v>
      </c>
      <c r="BD18" s="124">
        <v>50</v>
      </c>
      <c r="BE18" s="124">
        <v>0.85</v>
      </c>
      <c r="BF18" s="124">
        <v>1.65</v>
      </c>
      <c r="BG18" s="127">
        <f t="shared" si="29"/>
        <v>718.97</v>
      </c>
      <c r="BH18" s="124">
        <f t="shared" ref="BH18:BH26" si="34">AW18</f>
        <v>1058.8</v>
      </c>
      <c r="BI18" s="124">
        <f t="shared" ref="BI18:BI26" si="35">AW18</f>
        <v>1058.8</v>
      </c>
      <c r="BJ18" s="124">
        <f t="shared" ref="BJ18:BJ26" si="36">AW18</f>
        <v>1058.8</v>
      </c>
      <c r="BK18" s="124">
        <f t="shared" ref="BK18:BK26" si="37">AW18</f>
        <v>1058.8</v>
      </c>
    </row>
    <row r="19" spans="1:63" ht="15">
      <c r="A19" s="18" t="s">
        <v>79</v>
      </c>
      <c r="B19" s="103"/>
      <c r="C19" s="20"/>
      <c r="D19" s="193" t="s">
        <v>8</v>
      </c>
      <c r="E19" s="193">
        <v>2</v>
      </c>
      <c r="F19" s="176">
        <v>38.5</v>
      </c>
      <c r="G19" s="195">
        <v>17.8</v>
      </c>
      <c r="H19" s="67">
        <f>F19*G19</f>
        <v>685.3</v>
      </c>
      <c r="I19" s="35" t="str">
        <f t="shared" si="0"/>
        <v/>
      </c>
      <c r="J19" s="78"/>
      <c r="K19" s="94"/>
      <c r="L19" s="67"/>
      <c r="M19" s="35" t="str">
        <f t="shared" si="1"/>
        <v/>
      </c>
      <c r="N19" s="138">
        <f t="shared" si="2"/>
        <v>685.3</v>
      </c>
      <c r="O19" s="36" t="str">
        <f t="shared" si="3"/>
        <v/>
      </c>
      <c r="P19" s="142">
        <f t="shared" si="30"/>
        <v>42.49</v>
      </c>
      <c r="Q19" s="36" t="str">
        <f t="shared" si="4"/>
        <v/>
      </c>
      <c r="R19" s="143">
        <f t="shared" si="5"/>
        <v>9.94</v>
      </c>
      <c r="S19" s="36" t="str">
        <f t="shared" si="6"/>
        <v/>
      </c>
      <c r="T19" s="147">
        <v>33</v>
      </c>
      <c r="U19" s="36" t="str">
        <f t="shared" si="7"/>
        <v/>
      </c>
      <c r="V19" s="143">
        <f t="shared" si="8"/>
        <v>21.04</v>
      </c>
      <c r="W19" s="36" t="str">
        <f t="shared" si="9"/>
        <v/>
      </c>
      <c r="X19" s="134">
        <f t="shared" si="31"/>
        <v>0.48</v>
      </c>
      <c r="Y19" s="36" t="str">
        <f t="shared" si="10"/>
        <v/>
      </c>
      <c r="Z19" s="142">
        <f t="shared" si="32"/>
        <v>9.11</v>
      </c>
      <c r="AA19" s="36" t="str">
        <f t="shared" si="11"/>
        <v/>
      </c>
      <c r="AB19" s="142">
        <v>40</v>
      </c>
      <c r="AC19" s="36" t="str">
        <f t="shared" si="12"/>
        <v/>
      </c>
      <c r="AD19" s="26"/>
      <c r="AE19" s="36" t="str">
        <f t="shared" si="13"/>
        <v/>
      </c>
      <c r="AF19" s="26"/>
      <c r="AG19" s="36" t="str">
        <f t="shared" si="14"/>
        <v/>
      </c>
      <c r="AH19" s="90"/>
      <c r="AI19" s="92"/>
      <c r="AJ19" s="36" t="str">
        <f t="shared" si="15"/>
        <v/>
      </c>
      <c r="AK19" s="143">
        <f t="shared" si="16"/>
        <v>685.3</v>
      </c>
      <c r="AL19" s="36" t="str">
        <f t="shared" si="17"/>
        <v/>
      </c>
      <c r="AM19" s="143">
        <f t="shared" si="18"/>
        <v>685.3</v>
      </c>
      <c r="AN19" s="36" t="str">
        <f t="shared" si="19"/>
        <v/>
      </c>
      <c r="AO19" s="134">
        <f t="shared" si="20"/>
        <v>685.3</v>
      </c>
      <c r="AP19" s="36" t="str">
        <f t="shared" si="21"/>
        <v/>
      </c>
      <c r="AQ19" s="134">
        <f t="shared" si="22"/>
        <v>685.3</v>
      </c>
      <c r="AR19" s="36" t="str">
        <f t="shared" si="23"/>
        <v/>
      </c>
      <c r="AS19" s="99"/>
      <c r="AT19" s="123">
        <f>17.8*38.5</f>
        <v>685.3</v>
      </c>
      <c r="AU19" s="123"/>
      <c r="AV19" s="123"/>
      <c r="AW19" s="123">
        <f t="shared" si="33"/>
        <v>685.3</v>
      </c>
      <c r="AX19" s="124">
        <f t="shared" si="24"/>
        <v>42.49</v>
      </c>
      <c r="AY19" s="124">
        <f t="shared" si="25"/>
        <v>9.94</v>
      </c>
      <c r="AZ19" s="128">
        <v>33</v>
      </c>
      <c r="BA19" s="125">
        <f t="shared" si="26"/>
        <v>21.04</v>
      </c>
      <c r="BB19" s="125">
        <f t="shared" si="27"/>
        <v>0.48</v>
      </c>
      <c r="BC19" s="125">
        <f t="shared" si="28"/>
        <v>9.11</v>
      </c>
      <c r="BD19" s="124">
        <v>40</v>
      </c>
      <c r="BE19" s="124">
        <v>0</v>
      </c>
      <c r="BF19" s="124">
        <v>1.65</v>
      </c>
      <c r="BG19" s="127">
        <f t="shared" si="29"/>
        <v>527.59</v>
      </c>
      <c r="BH19" s="124">
        <f t="shared" si="34"/>
        <v>685.3</v>
      </c>
      <c r="BI19" s="124">
        <f t="shared" si="35"/>
        <v>685.3</v>
      </c>
      <c r="BJ19" s="124">
        <f t="shared" si="36"/>
        <v>685.3</v>
      </c>
      <c r="BK19" s="124">
        <f t="shared" si="37"/>
        <v>685.3</v>
      </c>
    </row>
    <row r="20" spans="1:63" ht="15">
      <c r="A20" s="18" t="s">
        <v>80</v>
      </c>
      <c r="B20" s="103"/>
      <c r="C20" s="20"/>
      <c r="D20" s="193" t="s">
        <v>8</v>
      </c>
      <c r="E20" s="193">
        <v>3</v>
      </c>
      <c r="F20" s="176">
        <v>40</v>
      </c>
      <c r="G20" s="195">
        <v>20.7</v>
      </c>
      <c r="H20" s="74">
        <f>F20*G20</f>
        <v>828</v>
      </c>
      <c r="I20" s="35" t="str">
        <f t="shared" si="0"/>
        <v/>
      </c>
      <c r="J20" s="78">
        <v>7</v>
      </c>
      <c r="K20" s="94">
        <f>G20*1.5</f>
        <v>31.05</v>
      </c>
      <c r="L20" s="74">
        <f>J20*K20</f>
        <v>217.35</v>
      </c>
      <c r="M20" s="35" t="str">
        <f t="shared" si="1"/>
        <v/>
      </c>
      <c r="N20" s="138">
        <f t="shared" si="2"/>
        <v>1045.3499999999999</v>
      </c>
      <c r="O20" s="36" t="str">
        <f t="shared" si="3"/>
        <v/>
      </c>
      <c r="P20" s="142">
        <f t="shared" si="30"/>
        <v>64.81</v>
      </c>
      <c r="Q20" s="36" t="str">
        <f t="shared" si="4"/>
        <v/>
      </c>
      <c r="R20" s="143">
        <f t="shared" si="5"/>
        <v>15.16</v>
      </c>
      <c r="S20" s="36" t="str">
        <f t="shared" si="6"/>
        <v/>
      </c>
      <c r="T20" s="147">
        <v>71</v>
      </c>
      <c r="U20" s="36" t="str">
        <f t="shared" si="7"/>
        <v/>
      </c>
      <c r="V20" s="143">
        <f t="shared" si="8"/>
        <v>32.090000000000003</v>
      </c>
      <c r="W20" s="36" t="str">
        <f t="shared" si="9"/>
        <v/>
      </c>
      <c r="X20" s="134">
        <f t="shared" si="31"/>
        <v>0.73</v>
      </c>
      <c r="Y20" s="36" t="str">
        <f t="shared" si="10"/>
        <v/>
      </c>
      <c r="Z20" s="142">
        <f t="shared" si="32"/>
        <v>13.9</v>
      </c>
      <c r="AA20" s="36" t="str">
        <f t="shared" si="11"/>
        <v/>
      </c>
      <c r="AB20" s="142">
        <v>60</v>
      </c>
      <c r="AC20" s="36" t="str">
        <f t="shared" si="12"/>
        <v/>
      </c>
      <c r="AD20" s="26"/>
      <c r="AE20" s="36" t="str">
        <f t="shared" si="13"/>
        <v/>
      </c>
      <c r="AF20" s="26"/>
      <c r="AG20" s="36" t="str">
        <f t="shared" si="14"/>
        <v/>
      </c>
      <c r="AH20" s="90"/>
      <c r="AI20" s="92"/>
      <c r="AJ20" s="36" t="str">
        <f t="shared" si="15"/>
        <v/>
      </c>
      <c r="AK20" s="143">
        <f t="shared" si="16"/>
        <v>1045.3499999999999</v>
      </c>
      <c r="AL20" s="36" t="str">
        <f t="shared" si="17"/>
        <v/>
      </c>
      <c r="AM20" s="143">
        <f t="shared" si="18"/>
        <v>1045.3499999999999</v>
      </c>
      <c r="AN20" s="36" t="str">
        <f t="shared" si="19"/>
        <v/>
      </c>
      <c r="AO20" s="134">
        <f t="shared" si="20"/>
        <v>1045.3499999999999</v>
      </c>
      <c r="AP20" s="36" t="str">
        <f t="shared" si="21"/>
        <v/>
      </c>
      <c r="AQ20" s="134">
        <f t="shared" si="22"/>
        <v>1045.3499999999999</v>
      </c>
      <c r="AR20" s="36" t="str">
        <f t="shared" si="23"/>
        <v/>
      </c>
      <c r="AS20" s="99"/>
      <c r="AT20" s="123">
        <f>20.7*40</f>
        <v>828</v>
      </c>
      <c r="AU20" s="123">
        <f>ROUND(20.7*1.5,2)*7</f>
        <v>217.35</v>
      </c>
      <c r="AV20" s="123"/>
      <c r="AW20" s="123">
        <f t="shared" si="33"/>
        <v>1045.3499999999999</v>
      </c>
      <c r="AX20" s="124">
        <f t="shared" si="24"/>
        <v>64.81</v>
      </c>
      <c r="AY20" s="124">
        <f t="shared" si="25"/>
        <v>15.16</v>
      </c>
      <c r="AZ20" s="128">
        <v>71</v>
      </c>
      <c r="BA20" s="125">
        <f t="shared" si="26"/>
        <v>32.090000000000003</v>
      </c>
      <c r="BB20" s="125">
        <f t="shared" si="27"/>
        <v>0.73</v>
      </c>
      <c r="BC20" s="125">
        <f t="shared" si="28"/>
        <v>13.9</v>
      </c>
      <c r="BD20" s="124">
        <v>60</v>
      </c>
      <c r="BE20" s="124">
        <v>0.85</v>
      </c>
      <c r="BF20" s="124">
        <v>1.65</v>
      </c>
      <c r="BG20" s="127">
        <f t="shared" si="29"/>
        <v>785.16</v>
      </c>
      <c r="BH20" s="124">
        <f t="shared" si="34"/>
        <v>1045.3499999999999</v>
      </c>
      <c r="BI20" s="124">
        <f t="shared" si="35"/>
        <v>1045.3499999999999</v>
      </c>
      <c r="BJ20" s="124">
        <f t="shared" si="36"/>
        <v>1045.3499999999999</v>
      </c>
      <c r="BK20" s="124">
        <f t="shared" si="37"/>
        <v>1045.3499999999999</v>
      </c>
    </row>
    <row r="21" spans="1:63" ht="15">
      <c r="A21" s="18" t="s">
        <v>81</v>
      </c>
      <c r="B21" s="103"/>
      <c r="C21" s="20"/>
      <c r="D21" s="193" t="s">
        <v>9</v>
      </c>
      <c r="E21" s="193">
        <v>2</v>
      </c>
      <c r="F21" s="176">
        <v>40</v>
      </c>
      <c r="G21" s="195">
        <v>23.8</v>
      </c>
      <c r="H21" s="74">
        <f>F21*G21</f>
        <v>952</v>
      </c>
      <c r="I21" s="35" t="str">
        <f t="shared" si="0"/>
        <v/>
      </c>
      <c r="J21" s="78"/>
      <c r="K21" s="94"/>
      <c r="L21" s="74"/>
      <c r="M21" s="35" t="str">
        <f t="shared" si="1"/>
        <v/>
      </c>
      <c r="N21" s="138">
        <f t="shared" si="2"/>
        <v>952</v>
      </c>
      <c r="O21" s="36" t="str">
        <f t="shared" si="3"/>
        <v/>
      </c>
      <c r="P21" s="142">
        <f t="shared" si="30"/>
        <v>59.02</v>
      </c>
      <c r="Q21" s="36" t="str">
        <f t="shared" si="4"/>
        <v/>
      </c>
      <c r="R21" s="143">
        <f t="shared" si="5"/>
        <v>13.8</v>
      </c>
      <c r="S21" s="36" t="str">
        <f t="shared" si="6"/>
        <v/>
      </c>
      <c r="T21" s="147">
        <v>103</v>
      </c>
      <c r="U21" s="36" t="str">
        <f t="shared" si="7"/>
        <v/>
      </c>
      <c r="V21" s="143">
        <f t="shared" si="8"/>
        <v>29.23</v>
      </c>
      <c r="W21" s="36" t="str">
        <f t="shared" si="9"/>
        <v/>
      </c>
      <c r="X21" s="134">
        <f t="shared" si="31"/>
        <v>0.67</v>
      </c>
      <c r="Y21" s="36" t="str">
        <f t="shared" si="10"/>
        <v/>
      </c>
      <c r="Z21" s="142">
        <f t="shared" si="32"/>
        <v>12.66</v>
      </c>
      <c r="AA21" s="36" t="str">
        <f t="shared" si="11"/>
        <v/>
      </c>
      <c r="AB21" s="142">
        <v>20</v>
      </c>
      <c r="AC21" s="36" t="str">
        <f t="shared" si="12"/>
        <v/>
      </c>
      <c r="AD21" s="26"/>
      <c r="AE21" s="36" t="str">
        <f t="shared" si="13"/>
        <v/>
      </c>
      <c r="AF21" s="26"/>
      <c r="AG21" s="36" t="str">
        <f t="shared" si="14"/>
        <v/>
      </c>
      <c r="AH21" s="90"/>
      <c r="AI21" s="92"/>
      <c r="AJ21" s="36" t="str">
        <f t="shared" si="15"/>
        <v/>
      </c>
      <c r="AK21" s="143">
        <f t="shared" si="16"/>
        <v>952</v>
      </c>
      <c r="AL21" s="36" t="str">
        <f t="shared" si="17"/>
        <v/>
      </c>
      <c r="AM21" s="143">
        <f t="shared" si="18"/>
        <v>952</v>
      </c>
      <c r="AN21" s="36" t="str">
        <f t="shared" si="19"/>
        <v/>
      </c>
      <c r="AO21" s="134">
        <f t="shared" si="20"/>
        <v>952</v>
      </c>
      <c r="AP21" s="36" t="str">
        <f t="shared" si="21"/>
        <v/>
      </c>
      <c r="AQ21" s="134">
        <f t="shared" si="22"/>
        <v>952</v>
      </c>
      <c r="AR21" s="36" t="str">
        <f t="shared" si="23"/>
        <v/>
      </c>
      <c r="AS21" s="99"/>
      <c r="AT21" s="123">
        <f>23.8*40</f>
        <v>952</v>
      </c>
      <c r="AU21" s="123"/>
      <c r="AV21" s="123"/>
      <c r="AW21" s="123">
        <f t="shared" si="33"/>
        <v>952</v>
      </c>
      <c r="AX21" s="124">
        <f t="shared" si="24"/>
        <v>59.02</v>
      </c>
      <c r="AY21" s="124">
        <f t="shared" si="25"/>
        <v>13.8</v>
      </c>
      <c r="AZ21" s="128">
        <v>103</v>
      </c>
      <c r="BA21" s="125">
        <f t="shared" si="26"/>
        <v>29.23</v>
      </c>
      <c r="BB21" s="125">
        <f t="shared" si="27"/>
        <v>0.67</v>
      </c>
      <c r="BC21" s="125">
        <f t="shared" si="28"/>
        <v>12.66</v>
      </c>
      <c r="BD21" s="124">
        <v>20</v>
      </c>
      <c r="BE21" s="124">
        <v>0.85</v>
      </c>
      <c r="BF21" s="124">
        <v>1.65</v>
      </c>
      <c r="BG21" s="127">
        <f t="shared" si="29"/>
        <v>711.12</v>
      </c>
      <c r="BH21" s="124">
        <f t="shared" si="34"/>
        <v>952</v>
      </c>
      <c r="BI21" s="124">
        <f t="shared" si="35"/>
        <v>952</v>
      </c>
      <c r="BJ21" s="124">
        <f t="shared" si="36"/>
        <v>952</v>
      </c>
      <c r="BK21" s="124">
        <f t="shared" si="37"/>
        <v>952</v>
      </c>
    </row>
    <row r="22" spans="1:63" ht="15">
      <c r="A22" s="18" t="s">
        <v>82</v>
      </c>
      <c r="B22" s="103"/>
      <c r="C22" s="20"/>
      <c r="D22" s="193" t="s">
        <v>8</v>
      </c>
      <c r="E22" s="193">
        <v>3</v>
      </c>
      <c r="F22" s="176">
        <v>40</v>
      </c>
      <c r="G22" s="71"/>
      <c r="H22" s="67">
        <v>800</v>
      </c>
      <c r="I22" s="35" t="str">
        <f t="shared" si="0"/>
        <v/>
      </c>
      <c r="J22" s="136">
        <v>1.25</v>
      </c>
      <c r="K22" s="137">
        <f>ROUND(H22/40,2)*1.5</f>
        <v>30</v>
      </c>
      <c r="L22" s="76">
        <f>J22*K22</f>
        <v>37.5</v>
      </c>
      <c r="M22" s="35" t="str">
        <f t="shared" si="1"/>
        <v/>
      </c>
      <c r="N22" s="138">
        <f t="shared" si="2"/>
        <v>837.5</v>
      </c>
      <c r="O22" s="36" t="str">
        <f t="shared" si="3"/>
        <v/>
      </c>
      <c r="P22" s="142">
        <f t="shared" si="30"/>
        <v>51.93</v>
      </c>
      <c r="Q22" s="36" t="str">
        <f t="shared" si="4"/>
        <v/>
      </c>
      <c r="R22" s="143">
        <f t="shared" si="5"/>
        <v>12.14</v>
      </c>
      <c r="S22" s="36" t="str">
        <f t="shared" si="6"/>
        <v/>
      </c>
      <c r="T22" s="147">
        <v>42</v>
      </c>
      <c r="U22" s="36" t="str">
        <f t="shared" si="7"/>
        <v/>
      </c>
      <c r="V22" s="143">
        <f t="shared" si="8"/>
        <v>25.71</v>
      </c>
      <c r="W22" s="36" t="str">
        <f t="shared" si="9"/>
        <v/>
      </c>
      <c r="X22" s="134">
        <f t="shared" si="31"/>
        <v>0.59</v>
      </c>
      <c r="Y22" s="36" t="str">
        <f t="shared" si="10"/>
        <v/>
      </c>
      <c r="Z22" s="142">
        <f t="shared" si="32"/>
        <v>11.14</v>
      </c>
      <c r="AA22" s="36" t="str">
        <f t="shared" si="11"/>
        <v/>
      </c>
      <c r="AB22" s="142">
        <v>40</v>
      </c>
      <c r="AC22" s="36" t="str">
        <f t="shared" si="12"/>
        <v/>
      </c>
      <c r="AD22" s="26"/>
      <c r="AE22" s="36" t="str">
        <f t="shared" si="13"/>
        <v/>
      </c>
      <c r="AF22" s="26"/>
      <c r="AG22" s="36" t="str">
        <f t="shared" si="14"/>
        <v/>
      </c>
      <c r="AH22" s="90"/>
      <c r="AI22" s="92"/>
      <c r="AJ22" s="36" t="str">
        <f t="shared" si="15"/>
        <v/>
      </c>
      <c r="AK22" s="143">
        <f t="shared" si="16"/>
        <v>837.5</v>
      </c>
      <c r="AL22" s="36" t="str">
        <f t="shared" si="17"/>
        <v/>
      </c>
      <c r="AM22" s="143">
        <f t="shared" si="18"/>
        <v>837.5</v>
      </c>
      <c r="AN22" s="36" t="str">
        <f t="shared" si="19"/>
        <v/>
      </c>
      <c r="AO22" s="134">
        <f t="shared" si="20"/>
        <v>837.5</v>
      </c>
      <c r="AP22" s="36" t="str">
        <f t="shared" si="21"/>
        <v/>
      </c>
      <c r="AQ22" s="134">
        <f t="shared" si="22"/>
        <v>837.5</v>
      </c>
      <c r="AR22" s="36" t="str">
        <f t="shared" si="23"/>
        <v/>
      </c>
      <c r="AS22" s="99"/>
      <c r="AT22" s="123">
        <v>800</v>
      </c>
      <c r="AU22" s="123">
        <f>ROUND(800/40,2)*1.5*1.25</f>
        <v>37.5</v>
      </c>
      <c r="AV22" s="123"/>
      <c r="AW22" s="123">
        <f t="shared" si="33"/>
        <v>837.5</v>
      </c>
      <c r="AX22" s="124">
        <f t="shared" si="24"/>
        <v>51.93</v>
      </c>
      <c r="AY22" s="124">
        <f t="shared" si="25"/>
        <v>12.14</v>
      </c>
      <c r="AZ22" s="128">
        <v>42</v>
      </c>
      <c r="BA22" s="125">
        <f t="shared" si="26"/>
        <v>25.71</v>
      </c>
      <c r="BB22" s="125">
        <f t="shared" si="27"/>
        <v>0.59</v>
      </c>
      <c r="BC22" s="125">
        <f t="shared" si="28"/>
        <v>11.14</v>
      </c>
      <c r="BD22" s="124">
        <v>40</v>
      </c>
      <c r="BE22" s="124">
        <v>0.85</v>
      </c>
      <c r="BF22" s="124">
        <v>1.65</v>
      </c>
      <c r="BG22" s="127">
        <f t="shared" si="29"/>
        <v>651.49</v>
      </c>
      <c r="BH22" s="124">
        <f t="shared" si="34"/>
        <v>837.5</v>
      </c>
      <c r="BI22" s="124">
        <f t="shared" si="35"/>
        <v>837.5</v>
      </c>
      <c r="BJ22" s="124">
        <f t="shared" si="36"/>
        <v>837.5</v>
      </c>
      <c r="BK22" s="124">
        <f t="shared" si="37"/>
        <v>837.5</v>
      </c>
    </row>
    <row r="23" spans="1:63" ht="15">
      <c r="A23" s="18" t="s">
        <v>83</v>
      </c>
      <c r="B23" s="103"/>
      <c r="C23" s="20"/>
      <c r="D23" s="193" t="s">
        <v>8</v>
      </c>
      <c r="E23" s="193">
        <v>4</v>
      </c>
      <c r="F23" s="176">
        <v>40</v>
      </c>
      <c r="G23" s="71"/>
      <c r="H23" s="67">
        <v>780</v>
      </c>
      <c r="I23" s="35" t="str">
        <f t="shared" si="0"/>
        <v/>
      </c>
      <c r="J23" s="78"/>
      <c r="K23" s="94"/>
      <c r="L23" s="67"/>
      <c r="M23" s="35" t="str">
        <f t="shared" si="1"/>
        <v/>
      </c>
      <c r="N23" s="138">
        <f t="shared" si="2"/>
        <v>780</v>
      </c>
      <c r="O23" s="36" t="str">
        <f t="shared" si="3"/>
        <v/>
      </c>
      <c r="P23" s="142">
        <f t="shared" si="30"/>
        <v>48.36</v>
      </c>
      <c r="Q23" s="36" t="str">
        <f t="shared" si="4"/>
        <v/>
      </c>
      <c r="R23" s="143">
        <f t="shared" si="5"/>
        <v>11.31</v>
      </c>
      <c r="S23" s="36" t="str">
        <f t="shared" si="6"/>
        <v/>
      </c>
      <c r="T23" s="147">
        <v>26</v>
      </c>
      <c r="U23" s="36" t="str">
        <f t="shared" si="7"/>
        <v/>
      </c>
      <c r="V23" s="143">
        <f t="shared" si="8"/>
        <v>23.95</v>
      </c>
      <c r="W23" s="36" t="str">
        <f t="shared" si="9"/>
        <v/>
      </c>
      <c r="X23" s="134">
        <f t="shared" si="31"/>
        <v>0.55000000000000004</v>
      </c>
      <c r="Y23" s="36" t="str">
        <f t="shared" si="10"/>
        <v/>
      </c>
      <c r="Z23" s="142">
        <f t="shared" si="32"/>
        <v>10.37</v>
      </c>
      <c r="AA23" s="36" t="str">
        <f t="shared" si="11"/>
        <v/>
      </c>
      <c r="AB23" s="142">
        <v>50</v>
      </c>
      <c r="AC23" s="36" t="str">
        <f t="shared" si="12"/>
        <v/>
      </c>
      <c r="AD23" s="26"/>
      <c r="AE23" s="36" t="str">
        <f t="shared" si="13"/>
        <v/>
      </c>
      <c r="AF23" s="26"/>
      <c r="AG23" s="36" t="str">
        <f t="shared" si="14"/>
        <v/>
      </c>
      <c r="AH23" s="90"/>
      <c r="AI23" s="92"/>
      <c r="AJ23" s="36" t="str">
        <f t="shared" si="15"/>
        <v/>
      </c>
      <c r="AK23" s="143">
        <f t="shared" si="16"/>
        <v>780</v>
      </c>
      <c r="AL23" s="36" t="str">
        <f t="shared" si="17"/>
        <v/>
      </c>
      <c r="AM23" s="143">
        <f t="shared" si="18"/>
        <v>780</v>
      </c>
      <c r="AN23" s="36" t="str">
        <f t="shared" si="19"/>
        <v/>
      </c>
      <c r="AO23" s="134">
        <f t="shared" si="20"/>
        <v>780</v>
      </c>
      <c r="AP23" s="36" t="str">
        <f t="shared" si="21"/>
        <v/>
      </c>
      <c r="AQ23" s="134">
        <f t="shared" si="22"/>
        <v>780</v>
      </c>
      <c r="AR23" s="36" t="str">
        <f t="shared" si="23"/>
        <v/>
      </c>
      <c r="AS23" s="99"/>
      <c r="AT23" s="123">
        <v>780</v>
      </c>
      <c r="AU23" s="123"/>
      <c r="AV23" s="123"/>
      <c r="AW23" s="123">
        <f t="shared" si="33"/>
        <v>780</v>
      </c>
      <c r="AX23" s="124">
        <f t="shared" si="24"/>
        <v>48.36</v>
      </c>
      <c r="AY23" s="124">
        <f t="shared" si="25"/>
        <v>11.31</v>
      </c>
      <c r="AZ23" s="128">
        <v>26</v>
      </c>
      <c r="BA23" s="125">
        <f t="shared" si="26"/>
        <v>23.95</v>
      </c>
      <c r="BB23" s="125">
        <f t="shared" si="27"/>
        <v>0.55000000000000004</v>
      </c>
      <c r="BC23" s="125">
        <f t="shared" si="28"/>
        <v>10.37</v>
      </c>
      <c r="BD23" s="124">
        <v>50</v>
      </c>
      <c r="BE23" s="124">
        <v>0.85</v>
      </c>
      <c r="BF23" s="124">
        <v>1.65</v>
      </c>
      <c r="BG23" s="127">
        <f t="shared" si="29"/>
        <v>606.96</v>
      </c>
      <c r="BH23" s="124">
        <f t="shared" si="34"/>
        <v>780</v>
      </c>
      <c r="BI23" s="124">
        <f t="shared" si="35"/>
        <v>780</v>
      </c>
      <c r="BJ23" s="124">
        <f t="shared" si="36"/>
        <v>780</v>
      </c>
      <c r="BK23" s="124">
        <f t="shared" si="37"/>
        <v>780</v>
      </c>
    </row>
    <row r="24" spans="1:63" ht="15">
      <c r="A24" s="18" t="s">
        <v>84</v>
      </c>
      <c r="B24" s="103"/>
      <c r="C24" s="20"/>
      <c r="D24" s="193" t="s">
        <v>9</v>
      </c>
      <c r="E24" s="193">
        <v>1</v>
      </c>
      <c r="F24" s="176">
        <v>40</v>
      </c>
      <c r="G24" s="71"/>
      <c r="H24" s="67">
        <f>ROUND(3500*12/52,2)</f>
        <v>807.69</v>
      </c>
      <c r="I24" s="35" t="str">
        <f t="shared" si="0"/>
        <v/>
      </c>
      <c r="J24" s="78"/>
      <c r="K24" s="94"/>
      <c r="L24" s="67"/>
      <c r="M24" s="35" t="str">
        <f t="shared" si="1"/>
        <v/>
      </c>
      <c r="N24" s="138">
        <f t="shared" si="2"/>
        <v>807.69</v>
      </c>
      <c r="O24" s="36" t="str">
        <f t="shared" si="3"/>
        <v/>
      </c>
      <c r="P24" s="142">
        <f t="shared" si="30"/>
        <v>50.08</v>
      </c>
      <c r="Q24" s="36" t="str">
        <f t="shared" si="4"/>
        <v/>
      </c>
      <c r="R24" s="143">
        <f t="shared" si="5"/>
        <v>11.71</v>
      </c>
      <c r="S24" s="36" t="str">
        <f t="shared" si="6"/>
        <v/>
      </c>
      <c r="T24" s="147">
        <v>86</v>
      </c>
      <c r="U24" s="36" t="str">
        <f t="shared" si="7"/>
        <v/>
      </c>
      <c r="V24" s="143">
        <f t="shared" si="8"/>
        <v>24.8</v>
      </c>
      <c r="W24" s="36" t="str">
        <f t="shared" si="9"/>
        <v/>
      </c>
      <c r="X24" s="134">
        <f t="shared" si="31"/>
        <v>0.56999999999999995</v>
      </c>
      <c r="Y24" s="36" t="str">
        <f t="shared" si="10"/>
        <v/>
      </c>
      <c r="Z24" s="142">
        <f t="shared" si="32"/>
        <v>10.74</v>
      </c>
      <c r="AA24" s="36" t="str">
        <f t="shared" si="11"/>
        <v/>
      </c>
      <c r="AB24" s="142">
        <v>50</v>
      </c>
      <c r="AC24" s="36" t="str">
        <f t="shared" si="12"/>
        <v/>
      </c>
      <c r="AD24" s="26"/>
      <c r="AE24" s="36" t="str">
        <f t="shared" si="13"/>
        <v/>
      </c>
      <c r="AF24" s="26"/>
      <c r="AG24" s="36" t="str">
        <f t="shared" si="14"/>
        <v/>
      </c>
      <c r="AH24" s="90"/>
      <c r="AI24" s="92"/>
      <c r="AJ24" s="36" t="str">
        <f t="shared" si="15"/>
        <v/>
      </c>
      <c r="AK24" s="143">
        <f t="shared" si="16"/>
        <v>807.69</v>
      </c>
      <c r="AL24" s="36" t="str">
        <f t="shared" si="17"/>
        <v/>
      </c>
      <c r="AM24" s="143">
        <f t="shared" si="18"/>
        <v>807.69</v>
      </c>
      <c r="AN24" s="36" t="str">
        <f t="shared" si="19"/>
        <v/>
      </c>
      <c r="AO24" s="134">
        <f t="shared" si="20"/>
        <v>807.69</v>
      </c>
      <c r="AP24" s="36" t="str">
        <f t="shared" si="21"/>
        <v/>
      </c>
      <c r="AQ24" s="134">
        <f t="shared" si="22"/>
        <v>807.69</v>
      </c>
      <c r="AR24" s="36" t="str">
        <f t="shared" si="23"/>
        <v/>
      </c>
      <c r="AS24" s="99"/>
      <c r="AT24" s="123">
        <f>ROUND(3500*12/52,2)</f>
        <v>807.69</v>
      </c>
      <c r="AU24" s="123"/>
      <c r="AV24" s="123"/>
      <c r="AW24" s="123">
        <f t="shared" si="33"/>
        <v>807.69</v>
      </c>
      <c r="AX24" s="124">
        <f t="shared" si="24"/>
        <v>50.08</v>
      </c>
      <c r="AY24" s="124">
        <f t="shared" si="25"/>
        <v>11.71</v>
      </c>
      <c r="AZ24" s="128">
        <v>86</v>
      </c>
      <c r="BA24" s="125">
        <f t="shared" si="26"/>
        <v>24.8</v>
      </c>
      <c r="BB24" s="125">
        <f t="shared" si="27"/>
        <v>0.56999999999999995</v>
      </c>
      <c r="BC24" s="125">
        <f t="shared" si="28"/>
        <v>10.74</v>
      </c>
      <c r="BD24" s="124">
        <v>50</v>
      </c>
      <c r="BE24" s="124">
        <v>0</v>
      </c>
      <c r="BF24" s="124">
        <v>1.65</v>
      </c>
      <c r="BG24" s="127">
        <f t="shared" si="29"/>
        <v>572.14</v>
      </c>
      <c r="BH24" s="124">
        <f t="shared" si="34"/>
        <v>807.69</v>
      </c>
      <c r="BI24" s="124">
        <f t="shared" si="35"/>
        <v>807.69</v>
      </c>
      <c r="BJ24" s="124">
        <f t="shared" si="36"/>
        <v>807.69</v>
      </c>
      <c r="BK24" s="124">
        <f t="shared" si="37"/>
        <v>807.69</v>
      </c>
    </row>
    <row r="25" spans="1:63" ht="15">
      <c r="A25" s="18" t="s">
        <v>85</v>
      </c>
      <c r="B25" s="103"/>
      <c r="C25" s="20"/>
      <c r="D25" s="193" t="s">
        <v>8</v>
      </c>
      <c r="E25" s="193">
        <v>5</v>
      </c>
      <c r="F25" s="176">
        <v>40</v>
      </c>
      <c r="G25" s="71"/>
      <c r="H25" s="67">
        <f>ROUND(4500*12/52,2)</f>
        <v>1038.46</v>
      </c>
      <c r="I25" s="35" t="str">
        <f t="shared" si="0"/>
        <v/>
      </c>
      <c r="J25" s="78">
        <v>5</v>
      </c>
      <c r="K25" s="94">
        <f>ROUND(H25/40,2)*1.5</f>
        <v>38.94</v>
      </c>
      <c r="L25" s="74">
        <f>J25*K25</f>
        <v>194.7</v>
      </c>
      <c r="M25" s="35" t="str">
        <f t="shared" si="1"/>
        <v/>
      </c>
      <c r="N25" s="138">
        <f t="shared" si="2"/>
        <v>1233.1600000000001</v>
      </c>
      <c r="O25" s="36" t="str">
        <f t="shared" si="3"/>
        <v/>
      </c>
      <c r="P25" s="142">
        <f t="shared" si="30"/>
        <v>76.459999999999994</v>
      </c>
      <c r="Q25" s="36" t="str">
        <f t="shared" si="4"/>
        <v/>
      </c>
      <c r="R25" s="143">
        <f t="shared" si="5"/>
        <v>17.88</v>
      </c>
      <c r="S25" s="36" t="str">
        <f t="shared" si="6"/>
        <v/>
      </c>
      <c r="T25" s="147">
        <v>81</v>
      </c>
      <c r="U25" s="36" t="str">
        <f t="shared" si="7"/>
        <v/>
      </c>
      <c r="V25" s="143">
        <f t="shared" si="8"/>
        <v>37.86</v>
      </c>
      <c r="W25" s="36" t="str">
        <f t="shared" si="9"/>
        <v/>
      </c>
      <c r="X25" s="134">
        <f t="shared" si="31"/>
        <v>0.86</v>
      </c>
      <c r="Y25" s="36" t="str">
        <f t="shared" si="10"/>
        <v/>
      </c>
      <c r="Z25" s="142">
        <f t="shared" si="32"/>
        <v>16.399999999999999</v>
      </c>
      <c r="AA25" s="36" t="str">
        <f t="shared" si="11"/>
        <v/>
      </c>
      <c r="AB25" s="142">
        <v>30</v>
      </c>
      <c r="AC25" s="36" t="str">
        <f t="shared" si="12"/>
        <v/>
      </c>
      <c r="AD25" s="26"/>
      <c r="AE25" s="36" t="str">
        <f t="shared" si="13"/>
        <v/>
      </c>
      <c r="AF25" s="26"/>
      <c r="AG25" s="36" t="str">
        <f t="shared" si="14"/>
        <v/>
      </c>
      <c r="AH25" s="90"/>
      <c r="AI25" s="92"/>
      <c r="AJ25" s="36" t="str">
        <f t="shared" si="15"/>
        <v/>
      </c>
      <c r="AK25" s="143">
        <f t="shared" si="16"/>
        <v>1233.1600000000001</v>
      </c>
      <c r="AL25" s="36" t="str">
        <f t="shared" si="17"/>
        <v/>
      </c>
      <c r="AM25" s="143">
        <f t="shared" si="18"/>
        <v>1233.1600000000001</v>
      </c>
      <c r="AN25" s="36" t="str">
        <f t="shared" si="19"/>
        <v/>
      </c>
      <c r="AO25" s="134">
        <f t="shared" si="20"/>
        <v>1233.1600000000001</v>
      </c>
      <c r="AP25" s="36" t="str">
        <f t="shared" si="21"/>
        <v/>
      </c>
      <c r="AQ25" s="134">
        <f t="shared" si="22"/>
        <v>1233.1600000000001</v>
      </c>
      <c r="AR25" s="36" t="str">
        <f t="shared" si="23"/>
        <v/>
      </c>
      <c r="AS25" s="99"/>
      <c r="AT25" s="123">
        <f>ROUND(4500*12/52,2)</f>
        <v>1038.46</v>
      </c>
      <c r="AU25" s="123">
        <f>ROUND(AT25/40,2)*1.5*5</f>
        <v>194.7</v>
      </c>
      <c r="AV25" s="123"/>
      <c r="AW25" s="123">
        <f t="shared" si="33"/>
        <v>1233.1600000000001</v>
      </c>
      <c r="AX25" s="124">
        <f t="shared" si="24"/>
        <v>76.459999999999994</v>
      </c>
      <c r="AY25" s="124">
        <f t="shared" si="25"/>
        <v>17.88</v>
      </c>
      <c r="AZ25" s="128">
        <v>81</v>
      </c>
      <c r="BA25" s="125">
        <f t="shared" si="26"/>
        <v>37.86</v>
      </c>
      <c r="BB25" s="125">
        <f t="shared" si="27"/>
        <v>0.86</v>
      </c>
      <c r="BC25" s="125">
        <f t="shared" si="28"/>
        <v>16.399999999999999</v>
      </c>
      <c r="BD25" s="124">
        <v>30</v>
      </c>
      <c r="BE25" s="124">
        <v>0.85</v>
      </c>
      <c r="BF25" s="124">
        <v>1.65</v>
      </c>
      <c r="BG25" s="127">
        <f t="shared" si="29"/>
        <v>970.2</v>
      </c>
      <c r="BH25" s="124">
        <f t="shared" si="34"/>
        <v>1233.1600000000001</v>
      </c>
      <c r="BI25" s="124">
        <f t="shared" si="35"/>
        <v>1233.1600000000001</v>
      </c>
      <c r="BJ25" s="124">
        <f t="shared" si="36"/>
        <v>1233.1600000000001</v>
      </c>
      <c r="BK25" s="124">
        <f t="shared" si="37"/>
        <v>1233.1600000000001</v>
      </c>
    </row>
    <row r="26" spans="1:63" ht="15">
      <c r="A26" s="18" t="s">
        <v>86</v>
      </c>
      <c r="B26" s="103"/>
      <c r="C26" s="20"/>
      <c r="D26" s="193" t="s">
        <v>8</v>
      </c>
      <c r="E26" s="193">
        <v>7</v>
      </c>
      <c r="F26" s="176">
        <v>40</v>
      </c>
      <c r="G26" s="71"/>
      <c r="H26" s="69">
        <f>ROUND(78000/52,2)</f>
        <v>1500</v>
      </c>
      <c r="I26" s="35" t="str">
        <f t="shared" si="0"/>
        <v/>
      </c>
      <c r="J26" s="79"/>
      <c r="K26" s="79"/>
      <c r="L26" s="69"/>
      <c r="M26" s="35" t="str">
        <f t="shared" si="1"/>
        <v/>
      </c>
      <c r="N26" s="138">
        <f t="shared" si="2"/>
        <v>1500</v>
      </c>
      <c r="O26" s="47" t="str">
        <f t="shared" si="3"/>
        <v/>
      </c>
      <c r="P26" s="142">
        <f t="shared" si="30"/>
        <v>93</v>
      </c>
      <c r="Q26" s="5" t="str">
        <f t="shared" si="4"/>
        <v/>
      </c>
      <c r="R26" s="143">
        <f t="shared" si="5"/>
        <v>21.75</v>
      </c>
      <c r="S26" s="36" t="str">
        <f t="shared" si="6"/>
        <v/>
      </c>
      <c r="T26" s="148">
        <v>89.76</v>
      </c>
      <c r="U26" s="50" t="str">
        <f t="shared" si="7"/>
        <v/>
      </c>
      <c r="V26" s="143">
        <f t="shared" si="8"/>
        <v>46.05</v>
      </c>
      <c r="W26" s="36" t="str">
        <f t="shared" si="9"/>
        <v/>
      </c>
      <c r="X26" s="134">
        <f t="shared" si="31"/>
        <v>1.05</v>
      </c>
      <c r="Y26" s="61" t="str">
        <f t="shared" si="10"/>
        <v/>
      </c>
      <c r="Z26" s="149">
        <f t="shared" si="32"/>
        <v>19.95</v>
      </c>
      <c r="AA26" s="36" t="str">
        <f t="shared" si="11"/>
        <v/>
      </c>
      <c r="AB26" s="149">
        <v>80</v>
      </c>
      <c r="AC26" s="36" t="str">
        <f t="shared" si="12"/>
        <v/>
      </c>
      <c r="AD26" s="38"/>
      <c r="AE26" s="61" t="str">
        <f t="shared" si="13"/>
        <v/>
      </c>
      <c r="AF26" s="38"/>
      <c r="AG26" s="61" t="str">
        <f t="shared" si="14"/>
        <v/>
      </c>
      <c r="AH26" s="90"/>
      <c r="AI26" s="92"/>
      <c r="AJ26" s="36" t="str">
        <f t="shared" si="15"/>
        <v/>
      </c>
      <c r="AK26" s="143">
        <f t="shared" si="16"/>
        <v>1500</v>
      </c>
      <c r="AL26" s="61" t="str">
        <f t="shared" si="17"/>
        <v/>
      </c>
      <c r="AM26" s="143">
        <f t="shared" si="18"/>
        <v>1500</v>
      </c>
      <c r="AN26" s="61" t="str">
        <f t="shared" si="19"/>
        <v/>
      </c>
      <c r="AO26" s="134">
        <f t="shared" si="20"/>
        <v>1500</v>
      </c>
      <c r="AP26" s="36" t="str">
        <f t="shared" si="21"/>
        <v/>
      </c>
      <c r="AQ26" s="134">
        <f t="shared" si="22"/>
        <v>1500</v>
      </c>
      <c r="AR26" s="36" t="str">
        <f t="shared" si="23"/>
        <v/>
      </c>
      <c r="AS26" s="99"/>
      <c r="AT26" s="123">
        <f>ROUND(78000/52,2)</f>
        <v>1500</v>
      </c>
      <c r="AU26" s="123"/>
      <c r="AV26" s="123"/>
      <c r="AW26" s="123">
        <f t="shared" si="33"/>
        <v>1500</v>
      </c>
      <c r="AX26" s="124">
        <f t="shared" si="24"/>
        <v>93</v>
      </c>
      <c r="AY26" s="124">
        <f t="shared" si="25"/>
        <v>21.75</v>
      </c>
      <c r="AZ26" s="129">
        <v>89.76</v>
      </c>
      <c r="BA26" s="125">
        <f t="shared" si="26"/>
        <v>46.05</v>
      </c>
      <c r="BB26" s="125">
        <f t="shared" si="27"/>
        <v>1.05</v>
      </c>
      <c r="BC26" s="125">
        <f t="shared" si="28"/>
        <v>19.95</v>
      </c>
      <c r="BD26" s="130">
        <v>80</v>
      </c>
      <c r="BE26" s="130">
        <v>0.85</v>
      </c>
      <c r="BF26" s="130">
        <v>1.65</v>
      </c>
      <c r="BG26" s="127">
        <f t="shared" si="29"/>
        <v>1145.94</v>
      </c>
      <c r="BH26" s="130">
        <f t="shared" si="34"/>
        <v>1500</v>
      </c>
      <c r="BI26" s="131">
        <f t="shared" si="35"/>
        <v>1500</v>
      </c>
      <c r="BJ26" s="131">
        <f t="shared" si="36"/>
        <v>1500</v>
      </c>
      <c r="BK26" s="131">
        <f t="shared" si="37"/>
        <v>1500</v>
      </c>
    </row>
    <row r="27" spans="1:63" ht="15.5" thickBot="1">
      <c r="A27" s="18" t="s">
        <v>14</v>
      </c>
      <c r="B27" s="103"/>
      <c r="C27" s="20"/>
      <c r="D27" s="19"/>
      <c r="E27" s="19"/>
      <c r="F27" s="65"/>
      <c r="G27" s="19"/>
      <c r="H27" s="135">
        <f>SUM(H17:H26)</f>
        <v>8901.4500000000007</v>
      </c>
      <c r="I27" s="37" t="str">
        <f t="shared" si="0"/>
        <v/>
      </c>
      <c r="J27" s="100"/>
      <c r="K27" s="101"/>
      <c r="L27" s="135">
        <f>SUM(L17:L26)</f>
        <v>738.35</v>
      </c>
      <c r="M27" s="37" t="str">
        <f t="shared" si="1"/>
        <v/>
      </c>
      <c r="N27" s="139">
        <f>SUM(N17:N26)</f>
        <v>9639.7999999999993</v>
      </c>
      <c r="O27" s="37" t="str">
        <f t="shared" si="3"/>
        <v/>
      </c>
      <c r="P27" s="139">
        <f>SUM(P17:P26)</f>
        <v>597.67999999999995</v>
      </c>
      <c r="Q27" s="37" t="str">
        <f t="shared" si="4"/>
        <v/>
      </c>
      <c r="R27" s="139">
        <f>SUM(R17:R26)</f>
        <v>139.77000000000001</v>
      </c>
      <c r="S27" s="37" t="str">
        <f t="shared" si="6"/>
        <v/>
      </c>
      <c r="T27" s="139">
        <f>SUM(T17:T26)</f>
        <v>772.76</v>
      </c>
      <c r="U27" s="37" t="str">
        <f t="shared" si="7"/>
        <v/>
      </c>
      <c r="V27" s="139">
        <f>SUM(V17:V26)</f>
        <v>295.95999999999998</v>
      </c>
      <c r="W27" s="37" t="str">
        <f t="shared" si="9"/>
        <v/>
      </c>
      <c r="X27" s="122">
        <f>SUM(X17:X26)</f>
        <v>6.76</v>
      </c>
      <c r="Y27" s="37" t="str">
        <f t="shared" si="10"/>
        <v/>
      </c>
      <c r="Z27" s="139">
        <f>SUM(Z17:Z26)</f>
        <v>128.19</v>
      </c>
      <c r="AA27" s="37" t="str">
        <f t="shared" si="11"/>
        <v/>
      </c>
      <c r="AB27" s="139">
        <f>SUM(AB17:AB26)</f>
        <v>440</v>
      </c>
      <c r="AC27" s="37" t="str">
        <f t="shared" si="12"/>
        <v/>
      </c>
      <c r="AD27" s="70"/>
      <c r="AE27" s="37" t="str">
        <f t="shared" si="13"/>
        <v/>
      </c>
      <c r="AF27" s="70"/>
      <c r="AG27" s="37" t="str">
        <f t="shared" si="14"/>
        <v/>
      </c>
      <c r="AH27" s="91"/>
      <c r="AI27" s="70"/>
      <c r="AJ27" s="37" t="str">
        <f t="shared" si="15"/>
        <v/>
      </c>
      <c r="AK27" s="139">
        <f>SUM(AK17:AK26)</f>
        <v>9639.7999999999993</v>
      </c>
      <c r="AL27" s="37" t="str">
        <f t="shared" si="17"/>
        <v/>
      </c>
      <c r="AM27" s="139">
        <f>SUM(AM17:AM26)</f>
        <v>9639.7999999999993</v>
      </c>
      <c r="AN27" s="37" t="str">
        <f t="shared" si="19"/>
        <v/>
      </c>
      <c r="AO27" s="122">
        <f>SUM(AO17:AO26)</f>
        <v>9639.7999999999993</v>
      </c>
      <c r="AP27" s="37" t="str">
        <f t="shared" si="21"/>
        <v/>
      </c>
      <c r="AQ27" s="122">
        <f>SUM(AQ17:AQ26)</f>
        <v>9639.7999999999993</v>
      </c>
      <c r="AR27" s="37" t="str">
        <f t="shared" si="23"/>
        <v/>
      </c>
      <c r="AS27" s="99"/>
      <c r="AT27" s="70">
        <f>SUM(AT17:AT26)</f>
        <v>8901.4500000000007</v>
      </c>
      <c r="AU27" s="132">
        <f>SUM(AU17:AU26)</f>
        <v>738.35</v>
      </c>
      <c r="AV27" s="141"/>
      <c r="AW27" s="132">
        <f>SUM(AW17:AW26)</f>
        <v>9639.7999999999993</v>
      </c>
      <c r="AX27" s="132">
        <f t="shared" ref="AX27:BK27" si="38">SUM(AX17:AX26)</f>
        <v>597.67999999999995</v>
      </c>
      <c r="AY27" s="132">
        <f t="shared" si="38"/>
        <v>139.77000000000001</v>
      </c>
      <c r="AZ27" s="132">
        <f t="shared" si="38"/>
        <v>772.76</v>
      </c>
      <c r="BA27" s="132">
        <f t="shared" si="38"/>
        <v>295.95999999999998</v>
      </c>
      <c r="BB27" s="132">
        <f t="shared" si="38"/>
        <v>6.76</v>
      </c>
      <c r="BC27" s="132">
        <f t="shared" si="38"/>
        <v>128.19</v>
      </c>
      <c r="BD27" s="132">
        <f t="shared" si="38"/>
        <v>440</v>
      </c>
      <c r="BE27" s="132">
        <f t="shared" si="38"/>
        <v>6.8</v>
      </c>
      <c r="BF27" s="132">
        <f t="shared" si="38"/>
        <v>16.5</v>
      </c>
      <c r="BG27" s="132">
        <f t="shared" si="38"/>
        <v>7235.38</v>
      </c>
      <c r="BH27" s="132">
        <f t="shared" si="38"/>
        <v>9639.7999999999993</v>
      </c>
      <c r="BI27" s="132">
        <f t="shared" si="38"/>
        <v>9639.7999999999993</v>
      </c>
      <c r="BJ27" s="132">
        <f t="shared" si="38"/>
        <v>9639.7999999999993</v>
      </c>
      <c r="BK27" s="132">
        <f t="shared" si="38"/>
        <v>9639.7999999999993</v>
      </c>
    </row>
    <row r="28" spans="1:63" ht="13" thickTop="1"/>
    <row r="30" spans="1:63" ht="13">
      <c r="C30" s="211" t="s">
        <v>25</v>
      </c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R30" s="4"/>
      <c r="S30" s="4"/>
      <c r="T30" s="105" t="s">
        <v>96</v>
      </c>
      <c r="U30" s="4"/>
      <c r="V30" s="4"/>
      <c r="W30" s="4"/>
      <c r="X30" s="105" t="s">
        <v>93</v>
      </c>
      <c r="Y30" s="4"/>
    </row>
    <row r="31" spans="1:63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R31" s="4"/>
      <c r="S31" s="4"/>
      <c r="T31" s="105" t="s">
        <v>97</v>
      </c>
      <c r="U31" s="4"/>
      <c r="V31" s="105" t="s">
        <v>98</v>
      </c>
      <c r="W31" s="4"/>
      <c r="X31" s="105" t="s">
        <v>100</v>
      </c>
      <c r="Y31" s="4"/>
    </row>
    <row r="32" spans="1:63" ht="15.5">
      <c r="C32" s="58"/>
      <c r="D32" s="213" t="s">
        <v>22</v>
      </c>
      <c r="E32" s="213"/>
      <c r="F32" s="58"/>
      <c r="G32" s="213" t="s">
        <v>21</v>
      </c>
      <c r="H32" s="213"/>
      <c r="I32" s="213"/>
      <c r="J32" s="213"/>
      <c r="K32" s="57"/>
      <c r="L32" s="58" t="s">
        <v>23</v>
      </c>
      <c r="M32" s="57"/>
      <c r="N32" s="58" t="s">
        <v>24</v>
      </c>
      <c r="O32" s="57"/>
      <c r="R32" s="4" t="s">
        <v>99</v>
      </c>
      <c r="S32" s="4"/>
      <c r="T32" s="191">
        <f>AO27</f>
        <v>9639.7999999999993</v>
      </c>
      <c r="U32" s="39" t="str">
        <f>IF(OR(T32="",T32=BB36),"","*")</f>
        <v/>
      </c>
      <c r="V32" s="192">
        <v>6.0000000000000001E-3</v>
      </c>
      <c r="W32" s="155" t="str">
        <f>IF(OR(V32="",V32=BC36),"","*")</f>
        <v/>
      </c>
      <c r="X32" s="191">
        <f>T32*V32</f>
        <v>57.84</v>
      </c>
      <c r="Y32" s="155" t="str">
        <f>IF(OR(X32="",X32=BD36),"","*")</f>
        <v/>
      </c>
    </row>
    <row r="33" spans="3:59" ht="13">
      <c r="C33" s="4"/>
      <c r="D33" s="4" t="s">
        <v>20</v>
      </c>
      <c r="E33" s="4"/>
      <c r="F33" s="4"/>
      <c r="G33" s="214"/>
      <c r="H33" s="214"/>
      <c r="I33" s="214"/>
      <c r="J33" s="214"/>
      <c r="K33" s="4"/>
      <c r="L33" s="4"/>
      <c r="M33" s="4"/>
      <c r="N33" s="4"/>
      <c r="O33" s="4"/>
      <c r="R33" s="4"/>
      <c r="S33" s="4"/>
      <c r="T33" s="4"/>
      <c r="U33" s="4"/>
      <c r="V33" s="4"/>
      <c r="W33" s="4"/>
      <c r="X33" s="105" t="s">
        <v>101</v>
      </c>
      <c r="Y33" s="4"/>
    </row>
    <row r="34" spans="3:59" ht="15.5">
      <c r="C34" s="4"/>
      <c r="D34" s="208" t="s">
        <v>70</v>
      </c>
      <c r="E34" s="209"/>
      <c r="F34" s="4" t="s">
        <v>53</v>
      </c>
      <c r="G34" s="4"/>
      <c r="H34" s="4"/>
      <c r="I34" s="4"/>
      <c r="J34" s="4"/>
      <c r="K34" s="39"/>
      <c r="L34" s="56"/>
      <c r="M34" s="39" t="str">
        <f>IF(OR(L34="",L34=AU34),"","*")</f>
        <v/>
      </c>
      <c r="N34" s="4"/>
      <c r="O34" s="4"/>
      <c r="R34" s="4" t="s">
        <v>16</v>
      </c>
      <c r="S34" s="4"/>
      <c r="T34" s="191">
        <f>AQ27</f>
        <v>9639.7999999999993</v>
      </c>
      <c r="U34" s="155" t="str">
        <f>IF(OR(T34="",T34=BB38),"","*")</f>
        <v/>
      </c>
      <c r="V34" s="192">
        <v>3.6784999999999998E-2</v>
      </c>
      <c r="W34" s="155" t="str">
        <f>IF(OR(V34="",V34=BC38),"","*")</f>
        <v/>
      </c>
      <c r="X34" s="191">
        <f>T34*V34</f>
        <v>354.6</v>
      </c>
      <c r="Y34" s="155" t="str">
        <f>IF(OR(X34="",X34=BD38),"","*")</f>
        <v/>
      </c>
      <c r="AU34" s="56">
        <f>AW27</f>
        <v>9639.7999999999993</v>
      </c>
      <c r="AW34" s="4"/>
      <c r="AZ34" s="1"/>
      <c r="BA34" s="1"/>
      <c r="BB34" s="105" t="s">
        <v>96</v>
      </c>
      <c r="BC34" s="4"/>
      <c r="BD34" s="4" t="s">
        <v>93</v>
      </c>
      <c r="BE34" s="1"/>
      <c r="BF34" s="1"/>
      <c r="BG34" s="1"/>
    </row>
    <row r="35" spans="3:59" ht="15">
      <c r="C35" s="4"/>
      <c r="D35" s="208"/>
      <c r="E35" s="209"/>
      <c r="F35" s="59"/>
      <c r="G35" s="4" t="s">
        <v>54</v>
      </c>
      <c r="H35" s="4"/>
      <c r="I35" s="4"/>
      <c r="J35" s="4"/>
      <c r="K35" s="39"/>
      <c r="L35" s="4"/>
      <c r="M35" s="39" t="s">
        <v>52</v>
      </c>
      <c r="N35" s="56"/>
      <c r="O35" s="39" t="str">
        <f t="shared" ref="O35:O44" si="39">IF(OR(N35="",N35=AW35),"","*")</f>
        <v/>
      </c>
      <c r="AU35" s="4"/>
      <c r="AW35" s="56">
        <f>AX27</f>
        <v>597.67999999999995</v>
      </c>
      <c r="AZ35" s="1"/>
      <c r="BA35" s="1"/>
      <c r="BB35" s="105" t="s">
        <v>97</v>
      </c>
      <c r="BC35" s="4" t="s">
        <v>98</v>
      </c>
      <c r="BD35" s="4" t="s">
        <v>100</v>
      </c>
      <c r="BE35" s="1"/>
      <c r="BF35" s="1"/>
      <c r="BG35" s="1"/>
    </row>
    <row r="36" spans="3:59" ht="15">
      <c r="C36" s="4"/>
      <c r="D36" s="4"/>
      <c r="E36" s="4"/>
      <c r="F36" s="59"/>
      <c r="G36" s="4" t="s">
        <v>55</v>
      </c>
      <c r="H36" s="4"/>
      <c r="I36" s="4"/>
      <c r="J36" s="4"/>
      <c r="K36" s="39"/>
      <c r="L36" s="4"/>
      <c r="M36" s="39" t="s">
        <v>52</v>
      </c>
      <c r="N36" s="56"/>
      <c r="O36" s="39" t="str">
        <f t="shared" si="39"/>
        <v/>
      </c>
      <c r="AU36" s="4"/>
      <c r="AW36" s="56">
        <f>AY27</f>
        <v>139.77000000000001</v>
      </c>
      <c r="AZ36" s="1"/>
      <c r="BA36" s="1"/>
      <c r="BB36" s="151">
        <f>BJ27</f>
        <v>9639.7999999999993</v>
      </c>
      <c r="BC36" s="150">
        <f>BJ15</f>
        <v>6.0000000000000001E-3</v>
      </c>
      <c r="BD36" s="153">
        <f>BB36*BC36</f>
        <v>57.84</v>
      </c>
      <c r="BE36" s="1"/>
      <c r="BF36" s="1"/>
      <c r="BG36" s="1"/>
    </row>
    <row r="37" spans="3:59" ht="15">
      <c r="C37" s="4"/>
      <c r="D37" s="4"/>
      <c r="E37" s="4"/>
      <c r="F37" s="59"/>
      <c r="G37" s="4" t="s">
        <v>56</v>
      </c>
      <c r="H37" s="4"/>
      <c r="I37" s="4"/>
      <c r="J37" s="4"/>
      <c r="K37" s="39"/>
      <c r="L37" s="4"/>
      <c r="M37" s="39" t="s">
        <v>52</v>
      </c>
      <c r="N37" s="56"/>
      <c r="O37" s="39" t="str">
        <f t="shared" si="39"/>
        <v/>
      </c>
      <c r="AU37" s="4"/>
      <c r="AW37" s="56">
        <f>AZ27</f>
        <v>772.76</v>
      </c>
      <c r="AZ37" s="1"/>
      <c r="BA37" s="1"/>
      <c r="BB37" s="152"/>
      <c r="BC37" s="4"/>
      <c r="BD37" s="154" t="s">
        <v>101</v>
      </c>
      <c r="BE37" s="1"/>
      <c r="BF37" s="1"/>
      <c r="BG37" s="1"/>
    </row>
    <row r="38" spans="3:59" ht="15">
      <c r="C38" s="4"/>
      <c r="D38" s="4"/>
      <c r="E38" s="4"/>
      <c r="F38" s="4"/>
      <c r="G38" s="4" t="s">
        <v>57</v>
      </c>
      <c r="H38" s="4"/>
      <c r="I38" s="4"/>
      <c r="J38" s="4"/>
      <c r="K38" s="39"/>
      <c r="L38" s="4"/>
      <c r="M38" s="4"/>
      <c r="N38" s="56"/>
      <c r="O38" s="39" t="str">
        <f t="shared" si="39"/>
        <v/>
      </c>
      <c r="AU38" s="4"/>
      <c r="AW38" s="56">
        <f>BA27</f>
        <v>295.95999999999998</v>
      </c>
      <c r="AZ38" s="1"/>
      <c r="BA38" s="1"/>
      <c r="BB38" s="152">
        <f>BK27</f>
        <v>9639.7999999999993</v>
      </c>
      <c r="BC38" s="150">
        <f>BK15</f>
        <v>3.6784999999999998E-2</v>
      </c>
      <c r="BD38" s="153">
        <f>BB38*BC38</f>
        <v>354.6</v>
      </c>
      <c r="BE38" s="1"/>
      <c r="BF38" s="1"/>
      <c r="BG38" s="1"/>
    </row>
    <row r="39" spans="3:59" ht="15">
      <c r="C39" s="4"/>
      <c r="D39" s="208"/>
      <c r="E39" s="209"/>
      <c r="F39" s="59"/>
      <c r="G39" s="4" t="s">
        <v>58</v>
      </c>
      <c r="H39" s="4"/>
      <c r="I39" s="4"/>
      <c r="J39" s="4"/>
      <c r="K39" s="39"/>
      <c r="L39" s="4"/>
      <c r="M39" s="39" t="s">
        <v>52</v>
      </c>
      <c r="N39" s="56"/>
      <c r="O39" s="39" t="str">
        <f t="shared" si="39"/>
        <v/>
      </c>
      <c r="AU39" s="4"/>
      <c r="AW39" s="56">
        <f>BB27</f>
        <v>6.76</v>
      </c>
    </row>
    <row r="40" spans="3:59" ht="15">
      <c r="C40" s="4"/>
      <c r="D40" s="4"/>
      <c r="E40" s="4"/>
      <c r="F40" s="59"/>
      <c r="G40" s="4" t="s">
        <v>59</v>
      </c>
      <c r="H40" s="4"/>
      <c r="I40" s="4"/>
      <c r="J40" s="4"/>
      <c r="K40" s="39"/>
      <c r="L40" s="4"/>
      <c r="M40" s="39" t="s">
        <v>52</v>
      </c>
      <c r="N40" s="56"/>
      <c r="O40" s="39" t="str">
        <f t="shared" si="39"/>
        <v/>
      </c>
      <c r="AU40" s="4"/>
      <c r="AW40" s="56">
        <f>BC27</f>
        <v>128.19</v>
      </c>
    </row>
    <row r="41" spans="3:59" ht="15">
      <c r="C41" s="4"/>
      <c r="D41" s="4"/>
      <c r="E41" s="4"/>
      <c r="F41" s="59"/>
      <c r="G41" s="4" t="s">
        <v>60</v>
      </c>
      <c r="H41" s="4"/>
      <c r="I41" s="4"/>
      <c r="J41" s="4"/>
      <c r="K41" s="39"/>
      <c r="L41" s="4"/>
      <c r="M41" s="39" t="s">
        <v>52</v>
      </c>
      <c r="N41" s="56"/>
      <c r="O41" s="39" t="str">
        <f t="shared" si="39"/>
        <v/>
      </c>
      <c r="AU41" s="4"/>
      <c r="AW41" s="56">
        <f>BD27</f>
        <v>440</v>
      </c>
    </row>
    <row r="42" spans="3:59" ht="15">
      <c r="C42" s="4"/>
      <c r="D42" s="4"/>
      <c r="E42" s="4"/>
      <c r="F42" s="4"/>
      <c r="G42" s="4" t="s">
        <v>61</v>
      </c>
      <c r="H42" s="4"/>
      <c r="I42" s="4"/>
      <c r="J42" s="4"/>
      <c r="K42" s="39"/>
      <c r="L42" s="4"/>
      <c r="M42" s="4"/>
      <c r="N42" s="56"/>
      <c r="O42" s="39" t="str">
        <f t="shared" si="39"/>
        <v/>
      </c>
      <c r="AU42" s="4"/>
      <c r="AW42" s="56">
        <f>BE27</f>
        <v>6.8</v>
      </c>
    </row>
    <row r="43" spans="3:59" ht="15">
      <c r="C43" s="4"/>
      <c r="D43" s="4"/>
      <c r="E43" s="4"/>
      <c r="F43" s="4"/>
      <c r="G43" s="4" t="s">
        <v>62</v>
      </c>
      <c r="H43" s="4"/>
      <c r="I43" s="4"/>
      <c r="J43" s="4"/>
      <c r="K43" s="39"/>
      <c r="L43" s="4"/>
      <c r="M43" s="39" t="s">
        <v>52</v>
      </c>
      <c r="N43" s="56"/>
      <c r="O43" s="39" t="str">
        <f t="shared" si="39"/>
        <v/>
      </c>
      <c r="AU43" s="4"/>
      <c r="AW43" s="56">
        <f>BF27</f>
        <v>16.5</v>
      </c>
    </row>
    <row r="44" spans="3:59" ht="15">
      <c r="C44" s="4"/>
      <c r="D44" s="4"/>
      <c r="E44" s="4"/>
      <c r="F44" s="4"/>
      <c r="G44" s="4" t="s">
        <v>63</v>
      </c>
      <c r="H44" s="4"/>
      <c r="I44" s="4"/>
      <c r="J44" s="4"/>
      <c r="K44" s="39"/>
      <c r="L44" s="4"/>
      <c r="M44" s="4"/>
      <c r="N44" s="56"/>
      <c r="O44" s="39" t="str">
        <f t="shared" si="39"/>
        <v/>
      </c>
      <c r="AU44" s="4"/>
      <c r="AW44" s="56">
        <f>BG27</f>
        <v>7235.38</v>
      </c>
    </row>
    <row r="45" spans="3:59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AU45" s="4"/>
      <c r="AW45" s="4"/>
    </row>
    <row r="46" spans="3:59" ht="15">
      <c r="C46" s="4"/>
      <c r="D46" s="210" t="s">
        <v>71</v>
      </c>
      <c r="E46" s="209"/>
      <c r="F46" s="4" t="s">
        <v>67</v>
      </c>
      <c r="G46" s="4"/>
      <c r="H46" s="4"/>
      <c r="I46" s="4"/>
      <c r="J46" s="4"/>
      <c r="K46" s="39"/>
      <c r="L46" s="56"/>
      <c r="M46" s="39" t="str">
        <f>IF(OR(L46="",L46=AU46),"","*")</f>
        <v/>
      </c>
      <c r="N46" s="4"/>
      <c r="O46" s="4"/>
      <c r="AU46" s="56">
        <f>SUM(AW47:AW50)</f>
        <v>1149.8900000000001</v>
      </c>
      <c r="AW46" s="4"/>
    </row>
    <row r="47" spans="3:59" ht="15">
      <c r="C47" s="4"/>
      <c r="D47" s="4"/>
      <c r="E47" s="4"/>
      <c r="F47" s="59"/>
      <c r="G47" s="4" t="s">
        <v>54</v>
      </c>
      <c r="H47" s="4"/>
      <c r="I47" s="4"/>
      <c r="J47" s="4"/>
      <c r="K47" s="39"/>
      <c r="L47" s="4"/>
      <c r="M47" s="39" t="s">
        <v>52</v>
      </c>
      <c r="N47" s="56"/>
      <c r="O47" s="39" t="str">
        <f>IF(OR(N47="",N47=AW47),"","*")</f>
        <v/>
      </c>
      <c r="AU47" s="4"/>
      <c r="AW47" s="56">
        <f>BH27*BH15</f>
        <v>597.66999999999996</v>
      </c>
    </row>
    <row r="48" spans="3:59" ht="15">
      <c r="C48" s="4"/>
      <c r="D48" s="4"/>
      <c r="E48" s="4"/>
      <c r="F48" s="59"/>
      <c r="G48" s="4" t="s">
        <v>55</v>
      </c>
      <c r="H48" s="4"/>
      <c r="I48" s="4"/>
      <c r="J48" s="4"/>
      <c r="K48" s="39"/>
      <c r="L48" s="4"/>
      <c r="M48" s="39" t="s">
        <v>52</v>
      </c>
      <c r="N48" s="56"/>
      <c r="O48" s="39" t="str">
        <f>IF(OR(N48="",N48=AW48),"","*")</f>
        <v/>
      </c>
      <c r="AU48" s="4"/>
      <c r="AW48" s="56">
        <f>BI27*BI15</f>
        <v>139.78</v>
      </c>
    </row>
    <row r="49" spans="3:49" ht="15">
      <c r="C49" s="4"/>
      <c r="D49" s="4"/>
      <c r="E49" s="4"/>
      <c r="F49" s="59"/>
      <c r="G49" s="4" t="s">
        <v>68</v>
      </c>
      <c r="H49" s="4"/>
      <c r="I49" s="4"/>
      <c r="J49" s="4"/>
      <c r="K49" s="39"/>
      <c r="L49" s="4"/>
      <c r="M49" s="39" t="s">
        <v>52</v>
      </c>
      <c r="N49" s="56"/>
      <c r="O49" s="39" t="str">
        <f>IF(OR(N49="",N49=AW49),"","*")</f>
        <v/>
      </c>
      <c r="AU49" s="4"/>
      <c r="AW49" s="56">
        <f>BJ27*BJ15</f>
        <v>57.84</v>
      </c>
    </row>
    <row r="50" spans="3:49" ht="15">
      <c r="C50" s="4"/>
      <c r="D50" s="4"/>
      <c r="E50" s="4"/>
      <c r="F50" s="4"/>
      <c r="G50" s="4" t="s">
        <v>69</v>
      </c>
      <c r="H50" s="4"/>
      <c r="I50" s="4"/>
      <c r="J50" s="4"/>
      <c r="K50" s="39"/>
      <c r="L50" s="4"/>
      <c r="M50" s="4"/>
      <c r="N50" s="56"/>
      <c r="O50" s="39" t="str">
        <f>IF(OR(N50="",N50=AW50),"","*")</f>
        <v/>
      </c>
      <c r="AU50" s="4"/>
      <c r="AW50" s="56">
        <f>BK27*BK15</f>
        <v>354.6</v>
      </c>
    </row>
    <row r="51" spans="3:49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AU51" s="4"/>
      <c r="AW51" s="4"/>
    </row>
    <row r="52" spans="3:49" ht="15">
      <c r="C52" s="4"/>
      <c r="D52" s="210" t="s">
        <v>64</v>
      </c>
      <c r="E52" s="209"/>
      <c r="F52" s="4" t="s">
        <v>65</v>
      </c>
      <c r="G52" s="4"/>
      <c r="H52" s="4"/>
      <c r="I52" s="4"/>
      <c r="J52" s="4"/>
      <c r="K52" s="39"/>
      <c r="L52" s="56"/>
      <c r="M52" s="39" t="str">
        <f>IF(OR(L52="",L52=AU52),"","*")</f>
        <v/>
      </c>
      <c r="N52" s="4"/>
      <c r="O52" s="4"/>
      <c r="AU52" s="56">
        <f>BG27</f>
        <v>7235.38</v>
      </c>
      <c r="AW52" s="4"/>
    </row>
    <row r="53" spans="3:49" ht="15">
      <c r="C53" s="4"/>
      <c r="D53" s="4"/>
      <c r="E53" s="4"/>
      <c r="F53" s="59"/>
      <c r="G53" s="4" t="s">
        <v>66</v>
      </c>
      <c r="H53" s="4"/>
      <c r="I53" s="4"/>
      <c r="J53" s="4"/>
      <c r="K53" s="39"/>
      <c r="L53" s="4"/>
      <c r="M53" s="39" t="s">
        <v>52</v>
      </c>
      <c r="N53" s="56"/>
      <c r="O53" s="39" t="str">
        <f>IF(OR(N53="",N53=AW53),"","*")</f>
        <v/>
      </c>
      <c r="AU53" s="4"/>
      <c r="AW53" s="56">
        <f>BG27</f>
        <v>7235.38</v>
      </c>
    </row>
    <row r="54" spans="3:49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3:49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3:49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</sheetData>
  <sheetProtection password="F4C4" sheet="1" objects="1" scenarios="1"/>
  <mergeCells count="34">
    <mergeCell ref="AF16:AG16"/>
    <mergeCell ref="P15:R15"/>
    <mergeCell ref="AD15:AE15"/>
    <mergeCell ref="AD16:AE16"/>
    <mergeCell ref="AH13:AJ13"/>
    <mergeCell ref="AK13:AR13"/>
    <mergeCell ref="BH14:BK14"/>
    <mergeCell ref="P14:R14"/>
    <mergeCell ref="P13:AF13"/>
    <mergeCell ref="B1:K1"/>
    <mergeCell ref="A7:AR7"/>
    <mergeCell ref="A8:AJ8"/>
    <mergeCell ref="A9:AJ9"/>
    <mergeCell ref="A10:AR10"/>
    <mergeCell ref="D11:H11"/>
    <mergeCell ref="D13:D16"/>
    <mergeCell ref="G14:G16"/>
    <mergeCell ref="J14:J16"/>
    <mergeCell ref="K14:K16"/>
    <mergeCell ref="J13:M13"/>
    <mergeCell ref="E13:E16"/>
    <mergeCell ref="F13:I13"/>
    <mergeCell ref="C30:O30"/>
    <mergeCell ref="D32:E32"/>
    <mergeCell ref="G32:J32"/>
    <mergeCell ref="F14:F16"/>
    <mergeCell ref="A15:C15"/>
    <mergeCell ref="A16:C16"/>
    <mergeCell ref="D46:E46"/>
    <mergeCell ref="D52:E52"/>
    <mergeCell ref="G33:J33"/>
    <mergeCell ref="D34:E34"/>
    <mergeCell ref="D35:E35"/>
    <mergeCell ref="D39:E39"/>
  </mergeCells>
  <phoneticPr fontId="16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56"/>
  <sheetViews>
    <sheetView showGridLines="0" workbookViewId="0">
      <selection activeCell="B1" sqref="B1:K1"/>
    </sheetView>
  </sheetViews>
  <sheetFormatPr defaultRowHeight="12.5"/>
  <cols>
    <col min="3" max="3" width="2.453125" customWidth="1"/>
    <col min="4" max="4" width="5.54296875" customWidth="1"/>
    <col min="5" max="5" width="4.453125" customWidth="1"/>
    <col min="6" max="6" width="5.90625" customWidth="1"/>
    <col min="8" max="8" width="9.1796875" bestFit="1" customWidth="1"/>
    <col min="9" max="9" width="3.453125" customWidth="1"/>
    <col min="10" max="10" width="5.08984375" customWidth="1"/>
    <col min="11" max="11" width="7.08984375" customWidth="1"/>
    <col min="12" max="12" width="9.1796875" bestFit="1" customWidth="1"/>
    <col min="13" max="13" width="3.7265625" customWidth="1"/>
    <col min="14" max="14" width="9.6328125" customWidth="1"/>
    <col min="15" max="15" width="3.36328125" customWidth="1"/>
    <col min="17" max="17" width="2.90625" customWidth="1"/>
    <col min="19" max="19" width="3.08984375" customWidth="1"/>
    <col min="20" max="20" width="9.54296875" customWidth="1"/>
    <col min="21" max="21" width="3" customWidth="1"/>
    <col min="22" max="22" width="10" customWidth="1"/>
    <col min="23" max="23" width="3.26953125" customWidth="1"/>
    <col min="24" max="24" width="9.6328125" customWidth="1"/>
    <col min="25" max="25" width="2.90625" customWidth="1"/>
    <col min="27" max="27" width="3" customWidth="1"/>
    <col min="29" max="29" width="3.26953125" customWidth="1"/>
    <col min="31" max="31" width="2.6328125" customWidth="1"/>
    <col min="33" max="33" width="2.6328125" customWidth="1"/>
    <col min="35" max="35" width="9.1796875" bestFit="1" customWidth="1"/>
    <col min="36" max="36" width="2.90625" customWidth="1"/>
    <col min="37" max="37" width="9.90625" customWidth="1"/>
    <col min="38" max="38" width="3.1796875" customWidth="1"/>
    <col min="39" max="39" width="10" customWidth="1"/>
    <col min="40" max="40" width="3.1796875" customWidth="1"/>
    <col min="41" max="41" width="9.7265625" customWidth="1"/>
    <col min="42" max="42" width="2.81640625" customWidth="1"/>
    <col min="43" max="43" width="9.90625" customWidth="1"/>
    <col min="44" max="44" width="2.81640625" customWidth="1"/>
    <col min="45" max="45" width="8.7265625" hidden="1" customWidth="1"/>
    <col min="46" max="47" width="9.1796875" hidden="1" customWidth="1"/>
    <col min="48" max="48" width="3.54296875" hidden="1" customWidth="1"/>
    <col min="49" max="49" width="9.1796875" hidden="1" customWidth="1"/>
    <col min="50" max="58" width="8.7265625" hidden="1" customWidth="1"/>
    <col min="59" max="63" width="9.1796875" hidden="1" customWidth="1"/>
  </cols>
  <sheetData>
    <row r="1" spans="1:63" ht="13">
      <c r="A1" s="2" t="s">
        <v>17</v>
      </c>
      <c r="B1" s="215" t="s">
        <v>72</v>
      </c>
      <c r="C1" s="215"/>
      <c r="D1" s="215"/>
      <c r="E1" s="215"/>
      <c r="F1" s="215"/>
      <c r="G1" s="215"/>
      <c r="H1" s="215"/>
      <c r="I1" s="215"/>
      <c r="J1" s="215"/>
      <c r="K1" s="215"/>
    </row>
    <row r="2" spans="1:63" ht="13">
      <c r="A2" s="75" t="s">
        <v>150</v>
      </c>
    </row>
    <row r="3" spans="1:63">
      <c r="A3" s="8" t="s">
        <v>19</v>
      </c>
      <c r="B3" s="8"/>
      <c r="C3" s="8"/>
    </row>
    <row r="4" spans="1:63" ht="13">
      <c r="A4" s="75" t="s">
        <v>153</v>
      </c>
      <c r="B4" s="75"/>
      <c r="C4" s="8"/>
    </row>
    <row r="6" spans="1:63" ht="13">
      <c r="A6" s="6" t="s">
        <v>75</v>
      </c>
      <c r="B6" s="6"/>
      <c r="C6" s="7"/>
    </row>
    <row r="7" spans="1:63" ht="13">
      <c r="A7" s="214" t="s">
        <v>76</v>
      </c>
      <c r="B7" s="214"/>
      <c r="C7" s="214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1"/>
    </row>
    <row r="8" spans="1:63" ht="13">
      <c r="A8" s="244"/>
      <c r="B8" s="244"/>
      <c r="C8" s="244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4"/>
      <c r="AL8" s="4"/>
      <c r="AM8" s="4"/>
      <c r="AN8" s="4"/>
      <c r="AO8" s="4"/>
      <c r="AP8" s="4"/>
      <c r="AQ8" s="4"/>
      <c r="AR8" s="4"/>
      <c r="AS8" s="1"/>
    </row>
    <row r="9" spans="1:63" ht="13">
      <c r="A9" s="244"/>
      <c r="B9" s="244"/>
      <c r="C9" s="244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4"/>
      <c r="AL9" s="4"/>
      <c r="AM9" s="4"/>
      <c r="AN9" s="4"/>
      <c r="AO9" s="4"/>
      <c r="AP9" s="4"/>
      <c r="AQ9" s="4"/>
      <c r="AR9" s="4"/>
      <c r="AS9" s="1"/>
    </row>
    <row r="10" spans="1:63">
      <c r="A10" s="246" t="s">
        <v>7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1"/>
    </row>
    <row r="11" spans="1:63">
      <c r="A11" s="40" t="s">
        <v>18</v>
      </c>
      <c r="B11" s="40"/>
      <c r="C11" s="40"/>
      <c r="D11" s="239" t="s">
        <v>42</v>
      </c>
      <c r="E11" s="240"/>
      <c r="F11" s="240"/>
      <c r="G11" s="240"/>
      <c r="H11" s="240"/>
      <c r="I11" s="12"/>
      <c r="J11" s="12"/>
      <c r="K11" s="12"/>
      <c r="L11" s="12"/>
      <c r="M11" s="22"/>
      <c r="N11" s="12"/>
      <c r="O11" s="12"/>
      <c r="P11" s="12"/>
      <c r="Q11" s="12"/>
      <c r="R11" s="12"/>
      <c r="S11" s="12"/>
      <c r="T11" s="13"/>
      <c r="U11" s="13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4"/>
      <c r="AL11" s="4"/>
      <c r="AM11" s="4"/>
      <c r="AN11" s="4"/>
      <c r="AO11" s="4"/>
      <c r="AP11" s="4"/>
      <c r="AQ11" s="4"/>
      <c r="AR11" s="4"/>
      <c r="AS11" s="1"/>
    </row>
    <row r="12" spans="1:63" ht="13" thickBo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96"/>
      <c r="AX12" t="s">
        <v>129</v>
      </c>
      <c r="AY12" t="s">
        <v>1</v>
      </c>
      <c r="BA12" t="s">
        <v>130</v>
      </c>
      <c r="BB12" t="s">
        <v>131</v>
      </c>
      <c r="BC12" t="s">
        <v>132</v>
      </c>
    </row>
    <row r="13" spans="1:63" ht="13" thickTop="1">
      <c r="A13" s="15"/>
      <c r="B13" s="16"/>
      <c r="C13" s="54"/>
      <c r="D13" s="237" t="s">
        <v>10</v>
      </c>
      <c r="E13" s="247" t="s">
        <v>11</v>
      </c>
      <c r="F13" s="216" t="s">
        <v>37</v>
      </c>
      <c r="G13" s="218"/>
      <c r="H13" s="218"/>
      <c r="I13" s="219"/>
      <c r="J13" s="216" t="s">
        <v>43</v>
      </c>
      <c r="K13" s="218"/>
      <c r="L13" s="218"/>
      <c r="M13" s="219"/>
      <c r="N13" s="49"/>
      <c r="O13" s="43"/>
      <c r="P13" s="241" t="s">
        <v>6</v>
      </c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7"/>
      <c r="AH13" s="216" t="s">
        <v>48</v>
      </c>
      <c r="AI13" s="242"/>
      <c r="AJ13" s="243"/>
      <c r="AK13" s="216" t="s">
        <v>51</v>
      </c>
      <c r="AL13" s="217"/>
      <c r="AM13" s="217"/>
      <c r="AN13" s="217"/>
      <c r="AO13" s="217"/>
      <c r="AP13" s="218"/>
      <c r="AQ13" s="218"/>
      <c r="AR13" s="219"/>
      <c r="AS13" s="97"/>
      <c r="AW13" t="s">
        <v>133</v>
      </c>
      <c r="AX13">
        <v>6.2E-2</v>
      </c>
      <c r="AY13">
        <v>1.4500000000000001E-2</v>
      </c>
      <c r="BA13">
        <v>3.0700000000000002E-2</v>
      </c>
      <c r="BB13">
        <v>6.9999999999999999E-4</v>
      </c>
      <c r="BC13">
        <v>1.3299999999999999E-2</v>
      </c>
    </row>
    <row r="14" spans="1:63">
      <c r="A14" s="17"/>
      <c r="B14" s="10"/>
      <c r="C14" s="55"/>
      <c r="D14" s="238"/>
      <c r="E14" s="248"/>
      <c r="F14" s="220" t="s">
        <v>38</v>
      </c>
      <c r="G14" s="223" t="s">
        <v>39</v>
      </c>
      <c r="H14" s="9"/>
      <c r="I14" s="63"/>
      <c r="J14" s="220" t="s">
        <v>38</v>
      </c>
      <c r="K14" s="223" t="s">
        <v>39</v>
      </c>
      <c r="L14" s="9"/>
      <c r="M14" s="63"/>
      <c r="N14" s="41"/>
      <c r="O14" s="44"/>
      <c r="P14" s="226"/>
      <c r="Q14" s="226"/>
      <c r="R14" s="226"/>
      <c r="S14" s="32"/>
      <c r="T14" s="24"/>
      <c r="U14" s="28"/>
      <c r="V14" s="24"/>
      <c r="W14" s="28"/>
      <c r="X14" s="33"/>
      <c r="Y14" s="33"/>
      <c r="Z14" s="24"/>
      <c r="AA14" s="28"/>
      <c r="AB14" s="24"/>
      <c r="AC14" s="28"/>
      <c r="AD14" s="33"/>
      <c r="AE14" s="33"/>
      <c r="AF14" s="24"/>
      <c r="AG14" s="28"/>
      <c r="AH14" s="87"/>
      <c r="AI14" s="11"/>
      <c r="AJ14" s="23"/>
      <c r="AK14" s="24"/>
      <c r="AL14" s="28"/>
      <c r="AM14" s="24"/>
      <c r="AN14" s="28"/>
      <c r="AO14" s="24"/>
      <c r="AP14" s="28"/>
      <c r="AQ14" s="24"/>
      <c r="AR14" s="28"/>
      <c r="AS14" s="98"/>
      <c r="AW14" t="s">
        <v>134</v>
      </c>
      <c r="AX14">
        <v>6.2E-2</v>
      </c>
      <c r="AY14">
        <v>1.4500000000000001E-2</v>
      </c>
      <c r="BH14" s="249" t="s">
        <v>95</v>
      </c>
      <c r="BI14" s="249"/>
      <c r="BJ14" s="249"/>
      <c r="BK14" s="249"/>
    </row>
    <row r="15" spans="1:63">
      <c r="A15" s="229"/>
      <c r="B15" s="230"/>
      <c r="C15" s="231"/>
      <c r="D15" s="238"/>
      <c r="E15" s="248"/>
      <c r="F15" s="221"/>
      <c r="G15" s="224"/>
      <c r="H15" s="11"/>
      <c r="I15" s="23"/>
      <c r="J15" s="221"/>
      <c r="K15" s="224"/>
      <c r="L15" s="11"/>
      <c r="M15" s="23"/>
      <c r="N15" s="42" t="s">
        <v>12</v>
      </c>
      <c r="O15" s="45"/>
      <c r="P15" s="232" t="s">
        <v>2</v>
      </c>
      <c r="Q15" s="232"/>
      <c r="R15" s="232"/>
      <c r="S15" s="33"/>
      <c r="T15" s="24"/>
      <c r="U15" s="29"/>
      <c r="V15" s="24"/>
      <c r="W15" s="29"/>
      <c r="X15" s="33"/>
      <c r="Y15" s="33"/>
      <c r="Z15" s="24"/>
      <c r="AA15" s="29"/>
      <c r="AB15" s="24"/>
      <c r="AC15" s="29"/>
      <c r="AD15" s="233" t="s">
        <v>47</v>
      </c>
      <c r="AE15" s="234"/>
      <c r="AF15" s="86" t="s">
        <v>46</v>
      </c>
      <c r="AG15" s="29"/>
      <c r="AH15" s="88" t="s">
        <v>49</v>
      </c>
      <c r="AI15" s="11"/>
      <c r="AJ15" s="23"/>
      <c r="AK15" s="24"/>
      <c r="AL15" s="29"/>
      <c r="AM15" s="24"/>
      <c r="AN15" s="29"/>
      <c r="AO15" s="24"/>
      <c r="AP15" s="29"/>
      <c r="AQ15" s="24"/>
      <c r="AR15" s="29"/>
      <c r="AS15" s="98"/>
      <c r="BH15">
        <v>6.2E-2</v>
      </c>
      <c r="BI15">
        <v>1.4500000000000001E-2</v>
      </c>
      <c r="BJ15">
        <v>6.0000000000000001E-3</v>
      </c>
      <c r="BK15">
        <v>3.6784999999999998E-2</v>
      </c>
    </row>
    <row r="16" spans="1:63" ht="15.5" customHeight="1">
      <c r="A16" s="235" t="s">
        <v>26</v>
      </c>
      <c r="B16" s="232"/>
      <c r="C16" s="236"/>
      <c r="D16" s="238"/>
      <c r="E16" s="248"/>
      <c r="F16" s="222"/>
      <c r="G16" s="225"/>
      <c r="H16" s="72" t="s">
        <v>40</v>
      </c>
      <c r="I16" s="64"/>
      <c r="J16" s="222"/>
      <c r="K16" s="225"/>
      <c r="L16" s="72" t="s">
        <v>40</v>
      </c>
      <c r="M16" s="64"/>
      <c r="N16" s="93" t="s">
        <v>13</v>
      </c>
      <c r="O16" s="46"/>
      <c r="P16" s="81" t="s">
        <v>0</v>
      </c>
      <c r="Q16" s="82"/>
      <c r="R16" s="83" t="s">
        <v>1</v>
      </c>
      <c r="S16" s="34"/>
      <c r="T16" s="85" t="s">
        <v>3</v>
      </c>
      <c r="U16" s="31"/>
      <c r="V16" s="72" t="s">
        <v>4</v>
      </c>
      <c r="W16" s="29"/>
      <c r="X16" s="72" t="s">
        <v>16</v>
      </c>
      <c r="Y16" s="30"/>
      <c r="Z16" s="85" t="s">
        <v>5</v>
      </c>
      <c r="AA16" s="29"/>
      <c r="AB16" s="85" t="s">
        <v>44</v>
      </c>
      <c r="AC16" s="29"/>
      <c r="AD16" s="227" t="s">
        <v>45</v>
      </c>
      <c r="AE16" s="228"/>
      <c r="AF16" s="227" t="s">
        <v>45</v>
      </c>
      <c r="AG16" s="228"/>
      <c r="AH16" s="89" t="s">
        <v>50</v>
      </c>
      <c r="AI16" s="84" t="s">
        <v>40</v>
      </c>
      <c r="AJ16" s="21"/>
      <c r="AK16" s="85" t="s">
        <v>0</v>
      </c>
      <c r="AL16" s="29"/>
      <c r="AM16" s="85" t="s">
        <v>1</v>
      </c>
      <c r="AN16" s="29"/>
      <c r="AO16" s="85" t="s">
        <v>15</v>
      </c>
      <c r="AP16" s="29"/>
      <c r="AQ16" s="85" t="s">
        <v>16</v>
      </c>
      <c r="AR16" s="29"/>
      <c r="AS16" s="98"/>
      <c r="AT16" t="s">
        <v>87</v>
      </c>
      <c r="AU16" t="s">
        <v>88</v>
      </c>
      <c r="AW16" t="s">
        <v>89</v>
      </c>
      <c r="AX16" t="s">
        <v>0</v>
      </c>
      <c r="AY16" t="s">
        <v>1</v>
      </c>
      <c r="AZ16" t="s">
        <v>3</v>
      </c>
      <c r="BA16" t="s">
        <v>4</v>
      </c>
      <c r="BB16" t="s">
        <v>16</v>
      </c>
      <c r="BC16" t="s">
        <v>5</v>
      </c>
      <c r="BD16" t="s">
        <v>92</v>
      </c>
      <c r="BE16" t="s">
        <v>91</v>
      </c>
      <c r="BF16" t="s">
        <v>90</v>
      </c>
      <c r="BG16" t="s">
        <v>93</v>
      </c>
      <c r="BH16" t="s">
        <v>0</v>
      </c>
      <c r="BI16" t="s">
        <v>1</v>
      </c>
      <c r="BJ16" t="s">
        <v>15</v>
      </c>
      <c r="BK16" t="s">
        <v>16</v>
      </c>
    </row>
    <row r="17" spans="1:63" ht="15">
      <c r="A17" s="60" t="s">
        <v>94</v>
      </c>
      <c r="B17" s="102"/>
      <c r="C17" s="20"/>
      <c r="D17" s="193" t="s">
        <v>9</v>
      </c>
      <c r="E17" s="193">
        <v>1</v>
      </c>
      <c r="F17" s="176">
        <v>40</v>
      </c>
      <c r="G17" s="195">
        <v>18.5</v>
      </c>
      <c r="H17" s="73">
        <f>F17*G17</f>
        <v>740</v>
      </c>
      <c r="I17" s="35" t="str">
        <f t="shared" ref="I17:I27" si="0">IF(OR(H17="",H17=AT17),"","*")</f>
        <v/>
      </c>
      <c r="J17" s="77"/>
      <c r="K17" s="80"/>
      <c r="L17" s="66"/>
      <c r="M17" s="35" t="str">
        <f t="shared" ref="M17:M27" si="1">IF(OR(L17="",L17=AU17),"","*")</f>
        <v/>
      </c>
      <c r="N17" s="138">
        <f t="shared" ref="N17:N26" si="2">H17+L17</f>
        <v>740</v>
      </c>
      <c r="O17" s="35" t="str">
        <f t="shared" ref="O17:O27" si="3">IF(OR(N17="",N17=AW17),"","*")</f>
        <v/>
      </c>
      <c r="P17" s="142">
        <f>N17*0.062</f>
        <v>45.88</v>
      </c>
      <c r="Q17" s="35" t="str">
        <f t="shared" ref="Q17:Q27" si="4">IF(OR(P17="",P17=AX17),"","*")</f>
        <v/>
      </c>
      <c r="R17" s="143">
        <f t="shared" ref="R17:R26" si="5">N17*0.0145</f>
        <v>10.73</v>
      </c>
      <c r="S17" s="35" t="str">
        <f t="shared" ref="S17:S27" si="6">IF(OR(R17="",R17=AY17),"","*")</f>
        <v/>
      </c>
      <c r="T17" s="138">
        <v>82</v>
      </c>
      <c r="U17" s="35" t="str">
        <f t="shared" ref="U17:U27" si="7">IF(OR(T17="",T17=AZ17),"","*")</f>
        <v/>
      </c>
      <c r="V17" s="143">
        <f t="shared" ref="V17:V26" si="8">N17*0.0307</f>
        <v>22.72</v>
      </c>
      <c r="W17" s="35" t="str">
        <f t="shared" ref="W17:W27" si="9">IF(OR(V17="",V17=BA17),"","*")</f>
        <v/>
      </c>
      <c r="X17" s="25">
        <f>N17*0.0007</f>
        <v>0.52</v>
      </c>
      <c r="Y17" s="35" t="str">
        <f t="shared" ref="Y17:Y27" si="10">IF(OR(X17="",X17=BB17),"","*")</f>
        <v/>
      </c>
      <c r="Z17" s="143">
        <f>N17*0.0133</f>
        <v>9.84</v>
      </c>
      <c r="AA17" s="35" t="str">
        <f t="shared" ref="AA17:AA27" si="11">IF(OR(Z17="",Z17=BC17),"","*")</f>
        <v/>
      </c>
      <c r="AB17" s="143">
        <v>20</v>
      </c>
      <c r="AC17" s="35" t="str">
        <f t="shared" ref="AC17:AC27" si="12">IF(OR(AB17="",AB17=BD17),"","*")</f>
        <v/>
      </c>
      <c r="AD17" s="134">
        <v>0.85</v>
      </c>
      <c r="AE17" s="35" t="str">
        <f t="shared" ref="AE17:AE27" si="13">IF(OR(AD17="",AD17=BE17),"","*")</f>
        <v/>
      </c>
      <c r="AF17" s="134">
        <v>1.65</v>
      </c>
      <c r="AG17" s="35" t="str">
        <f t="shared" ref="AG17:AG27" si="14">IF(OR(AF17="",AF17=BF17),"","*")</f>
        <v/>
      </c>
      <c r="AH17" s="164">
        <v>313</v>
      </c>
      <c r="AI17" s="162">
        <f t="shared" ref="AI17:AI26" si="15">N17-SUM(P17:AF17)</f>
        <v>545.80999999999995</v>
      </c>
      <c r="AJ17" s="35" t="str">
        <f t="shared" ref="AJ17:AJ27" si="16">IF(OR(AI17="",AI17=BG17),"","*")</f>
        <v/>
      </c>
      <c r="AK17" s="143">
        <f t="shared" ref="AK17:AK26" si="17">N17</f>
        <v>740</v>
      </c>
      <c r="AL17" s="35" t="str">
        <f t="shared" ref="AL17:AL27" si="18">IF(OR(AK17="",AK17=BH17),"","*")</f>
        <v/>
      </c>
      <c r="AM17" s="143">
        <f t="shared" ref="AM17:AM26" si="19">N17</f>
        <v>740</v>
      </c>
      <c r="AN17" s="35" t="str">
        <f t="shared" ref="AN17:AN27" si="20">IF(OR(AM17="",AM17=BI17),"","*")</f>
        <v/>
      </c>
      <c r="AO17" s="143">
        <f t="shared" ref="AO17:AO26" si="21">N17</f>
        <v>740</v>
      </c>
      <c r="AP17" s="35" t="str">
        <f t="shared" ref="AP17:AP27" si="22">IF(OR(AO17="",AO17=BJ17),"","*")</f>
        <v/>
      </c>
      <c r="AQ17" s="143">
        <f t="shared" ref="AQ17:AQ26" si="23">N17</f>
        <v>740</v>
      </c>
      <c r="AR17" s="35" t="str">
        <f t="shared" ref="AR17:AR27" si="24">IF(OR(AQ17="",AQ17=BK17),"","*")</f>
        <v/>
      </c>
      <c r="AS17" s="99"/>
      <c r="AT17" s="123">
        <f>18.5*40</f>
        <v>740</v>
      </c>
      <c r="AU17" s="123"/>
      <c r="AV17" s="123"/>
      <c r="AW17" s="123">
        <f>AT17+AU17</f>
        <v>740</v>
      </c>
      <c r="AX17" s="124">
        <f t="shared" ref="AX17:AX26" si="25">AW17*$AX$13</f>
        <v>45.88</v>
      </c>
      <c r="AY17" s="125">
        <f t="shared" ref="AY17:AY26" si="26">AW17*$AY$13</f>
        <v>10.73</v>
      </c>
      <c r="AZ17" s="126">
        <v>82</v>
      </c>
      <c r="BA17" s="125">
        <f t="shared" ref="BA17:BA26" si="27">AW17*$BA$13</f>
        <v>22.72</v>
      </c>
      <c r="BB17" s="125">
        <f t="shared" ref="BB17:BB26" si="28">AW17*$BB$13</f>
        <v>0.52</v>
      </c>
      <c r="BC17" s="125">
        <f t="shared" ref="BC17:BC26" si="29">AW17*$BC$13</f>
        <v>9.84</v>
      </c>
      <c r="BD17" s="125">
        <v>20</v>
      </c>
      <c r="BE17" s="125">
        <v>0.85</v>
      </c>
      <c r="BF17" s="125">
        <v>1.65</v>
      </c>
      <c r="BG17" s="127">
        <f t="shared" ref="BG17:BG26" si="30">AW17-SUM(AX17:BF17)</f>
        <v>545.80999999999995</v>
      </c>
      <c r="BH17" s="125">
        <f>AW17</f>
        <v>740</v>
      </c>
      <c r="BI17" s="125">
        <f>AW17</f>
        <v>740</v>
      </c>
      <c r="BJ17" s="125">
        <f>AW17</f>
        <v>740</v>
      </c>
      <c r="BK17" s="125">
        <f>AW17</f>
        <v>740</v>
      </c>
    </row>
    <row r="18" spans="1:63" ht="15">
      <c r="A18" s="18" t="s">
        <v>78</v>
      </c>
      <c r="B18" s="103"/>
      <c r="C18" s="20"/>
      <c r="D18" s="193" t="s">
        <v>9</v>
      </c>
      <c r="E18" s="193">
        <v>0</v>
      </c>
      <c r="F18" s="176">
        <v>40</v>
      </c>
      <c r="G18" s="195">
        <v>19.25</v>
      </c>
      <c r="H18" s="67">
        <f>F18*G18</f>
        <v>770</v>
      </c>
      <c r="I18" s="35" t="str">
        <f t="shared" si="0"/>
        <v/>
      </c>
      <c r="J18" s="78">
        <v>10</v>
      </c>
      <c r="K18" s="94">
        <f>G18*1.5</f>
        <v>28.88</v>
      </c>
      <c r="L18" s="68">
        <f>J18*K18</f>
        <v>288.8</v>
      </c>
      <c r="M18" s="35" t="str">
        <f t="shared" si="1"/>
        <v/>
      </c>
      <c r="N18" s="138">
        <f t="shared" si="2"/>
        <v>1058.8</v>
      </c>
      <c r="O18" s="36" t="str">
        <f t="shared" si="3"/>
        <v/>
      </c>
      <c r="P18" s="142">
        <f t="shared" ref="P18:P26" si="31">N18*0.062</f>
        <v>65.650000000000006</v>
      </c>
      <c r="Q18" s="36" t="str">
        <f t="shared" si="4"/>
        <v/>
      </c>
      <c r="R18" s="143">
        <f t="shared" si="5"/>
        <v>15.35</v>
      </c>
      <c r="S18" s="36" t="str">
        <f t="shared" si="6"/>
        <v/>
      </c>
      <c r="T18" s="147">
        <v>159</v>
      </c>
      <c r="U18" s="36" t="str">
        <f t="shared" si="7"/>
        <v/>
      </c>
      <c r="V18" s="143">
        <f t="shared" si="8"/>
        <v>32.51</v>
      </c>
      <c r="W18" s="36" t="str">
        <f t="shared" si="9"/>
        <v/>
      </c>
      <c r="X18" s="25">
        <f t="shared" ref="X18:X26" si="32">N18*0.0007</f>
        <v>0.74</v>
      </c>
      <c r="Y18" s="36" t="str">
        <f t="shared" si="10"/>
        <v/>
      </c>
      <c r="Z18" s="142">
        <f t="shared" ref="Z18:Z26" si="33">N18*0.0133</f>
        <v>14.08</v>
      </c>
      <c r="AA18" s="36" t="str">
        <f t="shared" si="11"/>
        <v/>
      </c>
      <c r="AB18" s="142">
        <v>50</v>
      </c>
      <c r="AC18" s="36" t="str">
        <f t="shared" si="12"/>
        <v/>
      </c>
      <c r="AD18" s="133">
        <v>0.85</v>
      </c>
      <c r="AE18" s="36" t="str">
        <f t="shared" si="13"/>
        <v/>
      </c>
      <c r="AF18" s="134">
        <v>1.65</v>
      </c>
      <c r="AG18" s="36" t="str">
        <f t="shared" si="14"/>
        <v/>
      </c>
      <c r="AH18" s="165">
        <v>314</v>
      </c>
      <c r="AI18" s="162">
        <f t="shared" si="15"/>
        <v>718.97</v>
      </c>
      <c r="AJ18" s="36" t="str">
        <f t="shared" si="16"/>
        <v/>
      </c>
      <c r="AK18" s="143">
        <f t="shared" si="17"/>
        <v>1058.8</v>
      </c>
      <c r="AL18" s="36" t="str">
        <f t="shared" si="18"/>
        <v/>
      </c>
      <c r="AM18" s="143">
        <f t="shared" si="19"/>
        <v>1058.8</v>
      </c>
      <c r="AN18" s="36" t="str">
        <f t="shared" si="20"/>
        <v/>
      </c>
      <c r="AO18" s="143">
        <f t="shared" si="21"/>
        <v>1058.8</v>
      </c>
      <c r="AP18" s="36" t="str">
        <f t="shared" si="22"/>
        <v/>
      </c>
      <c r="AQ18" s="143">
        <f t="shared" si="23"/>
        <v>1058.8</v>
      </c>
      <c r="AR18" s="36" t="str">
        <f t="shared" si="24"/>
        <v/>
      </c>
      <c r="AS18" s="99"/>
      <c r="AT18" s="123">
        <f>19.25*40</f>
        <v>770</v>
      </c>
      <c r="AU18" s="123">
        <f>ROUND(19.25*1.5,2)*10</f>
        <v>288.8</v>
      </c>
      <c r="AV18" s="123"/>
      <c r="AW18" s="123">
        <f t="shared" ref="AW18:AW26" si="34">AT18+AU18</f>
        <v>1058.8</v>
      </c>
      <c r="AX18" s="124">
        <f t="shared" si="25"/>
        <v>65.650000000000006</v>
      </c>
      <c r="AY18" s="124">
        <f t="shared" si="26"/>
        <v>15.35</v>
      </c>
      <c r="AZ18" s="128">
        <v>159</v>
      </c>
      <c r="BA18" s="125">
        <f t="shared" si="27"/>
        <v>32.51</v>
      </c>
      <c r="BB18" s="125">
        <f t="shared" si="28"/>
        <v>0.74</v>
      </c>
      <c r="BC18" s="125">
        <f t="shared" si="29"/>
        <v>14.08</v>
      </c>
      <c r="BD18" s="124">
        <v>50</v>
      </c>
      <c r="BE18" s="124">
        <v>0.85</v>
      </c>
      <c r="BF18" s="124">
        <v>1.65</v>
      </c>
      <c r="BG18" s="127">
        <f t="shared" si="30"/>
        <v>718.97</v>
      </c>
      <c r="BH18" s="124">
        <f t="shared" ref="BH18:BH26" si="35">AW18</f>
        <v>1058.8</v>
      </c>
      <c r="BI18" s="124">
        <f t="shared" ref="BI18:BI26" si="36">AW18</f>
        <v>1058.8</v>
      </c>
      <c r="BJ18" s="124">
        <f t="shared" ref="BJ18:BJ26" si="37">AW18</f>
        <v>1058.8</v>
      </c>
      <c r="BK18" s="124">
        <f t="shared" ref="BK18:BK26" si="38">AW18</f>
        <v>1058.8</v>
      </c>
    </row>
    <row r="19" spans="1:63" ht="15">
      <c r="A19" s="18" t="s">
        <v>79</v>
      </c>
      <c r="B19" s="103"/>
      <c r="C19" s="20"/>
      <c r="D19" s="193" t="s">
        <v>8</v>
      </c>
      <c r="E19" s="193">
        <v>2</v>
      </c>
      <c r="F19" s="176">
        <v>38.5</v>
      </c>
      <c r="G19" s="195">
        <v>17.8</v>
      </c>
      <c r="H19" s="67">
        <f>F19*G19</f>
        <v>685.3</v>
      </c>
      <c r="I19" s="35" t="str">
        <f t="shared" si="0"/>
        <v/>
      </c>
      <c r="J19" s="78"/>
      <c r="K19" s="94"/>
      <c r="L19" s="67"/>
      <c r="M19" s="35" t="str">
        <f t="shared" si="1"/>
        <v/>
      </c>
      <c r="N19" s="138">
        <f t="shared" si="2"/>
        <v>685.3</v>
      </c>
      <c r="O19" s="36" t="str">
        <f t="shared" si="3"/>
        <v/>
      </c>
      <c r="P19" s="142">
        <f t="shared" si="31"/>
        <v>42.49</v>
      </c>
      <c r="Q19" s="36" t="str">
        <f t="shared" si="4"/>
        <v/>
      </c>
      <c r="R19" s="143">
        <f t="shared" si="5"/>
        <v>9.94</v>
      </c>
      <c r="S19" s="36" t="str">
        <f t="shared" si="6"/>
        <v/>
      </c>
      <c r="T19" s="147">
        <v>33</v>
      </c>
      <c r="U19" s="36" t="str">
        <f t="shared" si="7"/>
        <v/>
      </c>
      <c r="V19" s="143">
        <f t="shared" si="8"/>
        <v>21.04</v>
      </c>
      <c r="W19" s="36" t="str">
        <f t="shared" si="9"/>
        <v/>
      </c>
      <c r="X19" s="25">
        <f t="shared" si="32"/>
        <v>0.48</v>
      </c>
      <c r="Y19" s="36" t="str">
        <f t="shared" si="10"/>
        <v/>
      </c>
      <c r="Z19" s="142">
        <f t="shared" si="33"/>
        <v>9.11</v>
      </c>
      <c r="AA19" s="36" t="str">
        <f t="shared" si="11"/>
        <v/>
      </c>
      <c r="AB19" s="142">
        <v>40</v>
      </c>
      <c r="AC19" s="36" t="str">
        <f t="shared" si="12"/>
        <v/>
      </c>
      <c r="AD19" s="133">
        <v>0</v>
      </c>
      <c r="AE19" s="36" t="str">
        <f t="shared" si="13"/>
        <v/>
      </c>
      <c r="AF19" s="134">
        <v>1.65</v>
      </c>
      <c r="AG19" s="36" t="str">
        <f t="shared" si="14"/>
        <v/>
      </c>
      <c r="AH19" s="165">
        <v>315</v>
      </c>
      <c r="AI19" s="162">
        <f t="shared" si="15"/>
        <v>527.59</v>
      </c>
      <c r="AJ19" s="36" t="str">
        <f t="shared" si="16"/>
        <v/>
      </c>
      <c r="AK19" s="143">
        <f t="shared" si="17"/>
        <v>685.3</v>
      </c>
      <c r="AL19" s="36" t="str">
        <f t="shared" si="18"/>
        <v/>
      </c>
      <c r="AM19" s="143">
        <f t="shared" si="19"/>
        <v>685.3</v>
      </c>
      <c r="AN19" s="36" t="str">
        <f t="shared" si="20"/>
        <v/>
      </c>
      <c r="AO19" s="143">
        <f t="shared" si="21"/>
        <v>685.3</v>
      </c>
      <c r="AP19" s="36" t="str">
        <f t="shared" si="22"/>
        <v/>
      </c>
      <c r="AQ19" s="143">
        <f t="shared" si="23"/>
        <v>685.3</v>
      </c>
      <c r="AR19" s="36" t="str">
        <f t="shared" si="24"/>
        <v/>
      </c>
      <c r="AS19" s="99"/>
      <c r="AT19" s="123">
        <f>17.8*38.5</f>
        <v>685.3</v>
      </c>
      <c r="AU19" s="123"/>
      <c r="AV19" s="123"/>
      <c r="AW19" s="123">
        <f t="shared" si="34"/>
        <v>685.3</v>
      </c>
      <c r="AX19" s="124">
        <f t="shared" si="25"/>
        <v>42.49</v>
      </c>
      <c r="AY19" s="124">
        <f t="shared" si="26"/>
        <v>9.94</v>
      </c>
      <c r="AZ19" s="128">
        <v>33</v>
      </c>
      <c r="BA19" s="125">
        <f t="shared" si="27"/>
        <v>21.04</v>
      </c>
      <c r="BB19" s="125">
        <f t="shared" si="28"/>
        <v>0.48</v>
      </c>
      <c r="BC19" s="125">
        <f t="shared" si="29"/>
        <v>9.11</v>
      </c>
      <c r="BD19" s="124">
        <v>40</v>
      </c>
      <c r="BE19" s="124">
        <v>0</v>
      </c>
      <c r="BF19" s="124">
        <v>1.65</v>
      </c>
      <c r="BG19" s="127">
        <f t="shared" si="30"/>
        <v>527.59</v>
      </c>
      <c r="BH19" s="124">
        <f t="shared" si="35"/>
        <v>685.3</v>
      </c>
      <c r="BI19" s="124">
        <f t="shared" si="36"/>
        <v>685.3</v>
      </c>
      <c r="BJ19" s="124">
        <f t="shared" si="37"/>
        <v>685.3</v>
      </c>
      <c r="BK19" s="124">
        <f t="shared" si="38"/>
        <v>685.3</v>
      </c>
    </row>
    <row r="20" spans="1:63" ht="15">
      <c r="A20" s="18" t="s">
        <v>80</v>
      </c>
      <c r="B20" s="103"/>
      <c r="C20" s="20"/>
      <c r="D20" s="193" t="s">
        <v>8</v>
      </c>
      <c r="E20" s="193">
        <v>3</v>
      </c>
      <c r="F20" s="176">
        <v>40</v>
      </c>
      <c r="G20" s="195">
        <v>20.7</v>
      </c>
      <c r="H20" s="74">
        <f>F20*G20</f>
        <v>828</v>
      </c>
      <c r="I20" s="35" t="str">
        <f t="shared" si="0"/>
        <v/>
      </c>
      <c r="J20" s="78">
        <v>7</v>
      </c>
      <c r="K20" s="94">
        <f>G20*1.5</f>
        <v>31.05</v>
      </c>
      <c r="L20" s="74">
        <f>J20*K20</f>
        <v>217.35</v>
      </c>
      <c r="M20" s="35" t="str">
        <f t="shared" si="1"/>
        <v/>
      </c>
      <c r="N20" s="138">
        <f t="shared" si="2"/>
        <v>1045.3499999999999</v>
      </c>
      <c r="O20" s="36" t="str">
        <f t="shared" si="3"/>
        <v/>
      </c>
      <c r="P20" s="142">
        <f t="shared" si="31"/>
        <v>64.81</v>
      </c>
      <c r="Q20" s="36" t="str">
        <f t="shared" si="4"/>
        <v/>
      </c>
      <c r="R20" s="143">
        <f t="shared" si="5"/>
        <v>15.16</v>
      </c>
      <c r="S20" s="36" t="str">
        <f t="shared" si="6"/>
        <v/>
      </c>
      <c r="T20" s="147">
        <v>71</v>
      </c>
      <c r="U20" s="36" t="str">
        <f t="shared" si="7"/>
        <v/>
      </c>
      <c r="V20" s="143">
        <f t="shared" si="8"/>
        <v>32.090000000000003</v>
      </c>
      <c r="W20" s="36" t="str">
        <f t="shared" si="9"/>
        <v/>
      </c>
      <c r="X20" s="25">
        <f t="shared" si="32"/>
        <v>0.73</v>
      </c>
      <c r="Y20" s="36" t="str">
        <f t="shared" si="10"/>
        <v/>
      </c>
      <c r="Z20" s="142">
        <f t="shared" si="33"/>
        <v>13.9</v>
      </c>
      <c r="AA20" s="36" t="str">
        <f t="shared" si="11"/>
        <v/>
      </c>
      <c r="AB20" s="142">
        <v>60</v>
      </c>
      <c r="AC20" s="36" t="str">
        <f t="shared" si="12"/>
        <v/>
      </c>
      <c r="AD20" s="133">
        <v>0.85</v>
      </c>
      <c r="AE20" s="36" t="str">
        <f t="shared" si="13"/>
        <v/>
      </c>
      <c r="AF20" s="134">
        <v>1.65</v>
      </c>
      <c r="AG20" s="36" t="str">
        <f t="shared" si="14"/>
        <v/>
      </c>
      <c r="AH20" s="165">
        <v>316</v>
      </c>
      <c r="AI20" s="162">
        <f t="shared" si="15"/>
        <v>785.16</v>
      </c>
      <c r="AJ20" s="36" t="str">
        <f t="shared" si="16"/>
        <v/>
      </c>
      <c r="AK20" s="143">
        <f t="shared" si="17"/>
        <v>1045.3499999999999</v>
      </c>
      <c r="AL20" s="36" t="str">
        <f t="shared" si="18"/>
        <v/>
      </c>
      <c r="AM20" s="143">
        <f t="shared" si="19"/>
        <v>1045.3499999999999</v>
      </c>
      <c r="AN20" s="36" t="str">
        <f t="shared" si="20"/>
        <v/>
      </c>
      <c r="AO20" s="143">
        <f t="shared" si="21"/>
        <v>1045.3499999999999</v>
      </c>
      <c r="AP20" s="36" t="str">
        <f t="shared" si="22"/>
        <v/>
      </c>
      <c r="AQ20" s="143">
        <f t="shared" si="23"/>
        <v>1045.3499999999999</v>
      </c>
      <c r="AR20" s="36" t="str">
        <f t="shared" si="24"/>
        <v/>
      </c>
      <c r="AS20" s="99"/>
      <c r="AT20" s="123">
        <f>20.7*40</f>
        <v>828</v>
      </c>
      <c r="AU20" s="123">
        <f>ROUND(20.7*1.5,2)*7</f>
        <v>217.35</v>
      </c>
      <c r="AV20" s="123"/>
      <c r="AW20" s="123">
        <f t="shared" si="34"/>
        <v>1045.3499999999999</v>
      </c>
      <c r="AX20" s="124">
        <f t="shared" si="25"/>
        <v>64.81</v>
      </c>
      <c r="AY20" s="124">
        <f t="shared" si="26"/>
        <v>15.16</v>
      </c>
      <c r="AZ20" s="128">
        <v>71</v>
      </c>
      <c r="BA20" s="125">
        <f t="shared" si="27"/>
        <v>32.090000000000003</v>
      </c>
      <c r="BB20" s="125">
        <f t="shared" si="28"/>
        <v>0.73</v>
      </c>
      <c r="BC20" s="125">
        <f t="shared" si="29"/>
        <v>13.9</v>
      </c>
      <c r="BD20" s="124">
        <v>60</v>
      </c>
      <c r="BE20" s="124">
        <v>0.85</v>
      </c>
      <c r="BF20" s="124">
        <v>1.65</v>
      </c>
      <c r="BG20" s="127">
        <f t="shared" si="30"/>
        <v>785.16</v>
      </c>
      <c r="BH20" s="124">
        <f t="shared" si="35"/>
        <v>1045.3499999999999</v>
      </c>
      <c r="BI20" s="124">
        <f t="shared" si="36"/>
        <v>1045.3499999999999</v>
      </c>
      <c r="BJ20" s="124">
        <f t="shared" si="37"/>
        <v>1045.3499999999999</v>
      </c>
      <c r="BK20" s="124">
        <f t="shared" si="38"/>
        <v>1045.3499999999999</v>
      </c>
    </row>
    <row r="21" spans="1:63" ht="15">
      <c r="A21" s="18" t="s">
        <v>81</v>
      </c>
      <c r="B21" s="103"/>
      <c r="C21" s="20"/>
      <c r="D21" s="193" t="s">
        <v>9</v>
      </c>
      <c r="E21" s="193">
        <v>2</v>
      </c>
      <c r="F21" s="176">
        <v>40</v>
      </c>
      <c r="G21" s="195">
        <v>23.8</v>
      </c>
      <c r="H21" s="74">
        <f>F21*G21</f>
        <v>952</v>
      </c>
      <c r="I21" s="35" t="str">
        <f t="shared" si="0"/>
        <v/>
      </c>
      <c r="J21" s="78"/>
      <c r="K21" s="94"/>
      <c r="L21" s="74"/>
      <c r="M21" s="35" t="str">
        <f t="shared" si="1"/>
        <v/>
      </c>
      <c r="N21" s="138">
        <f t="shared" si="2"/>
        <v>952</v>
      </c>
      <c r="O21" s="36" t="str">
        <f t="shared" si="3"/>
        <v/>
      </c>
      <c r="P21" s="142">
        <f t="shared" si="31"/>
        <v>59.02</v>
      </c>
      <c r="Q21" s="36" t="str">
        <f t="shared" si="4"/>
        <v/>
      </c>
      <c r="R21" s="143">
        <f t="shared" si="5"/>
        <v>13.8</v>
      </c>
      <c r="S21" s="36" t="str">
        <f t="shared" si="6"/>
        <v/>
      </c>
      <c r="T21" s="147">
        <v>103</v>
      </c>
      <c r="U21" s="36" t="str">
        <f t="shared" si="7"/>
        <v/>
      </c>
      <c r="V21" s="143">
        <f t="shared" si="8"/>
        <v>29.23</v>
      </c>
      <c r="W21" s="36" t="str">
        <f t="shared" si="9"/>
        <v/>
      </c>
      <c r="X21" s="25">
        <f t="shared" si="32"/>
        <v>0.67</v>
      </c>
      <c r="Y21" s="36" t="str">
        <f t="shared" si="10"/>
        <v/>
      </c>
      <c r="Z21" s="142">
        <f t="shared" si="33"/>
        <v>12.66</v>
      </c>
      <c r="AA21" s="36" t="str">
        <f t="shared" si="11"/>
        <v/>
      </c>
      <c r="AB21" s="142">
        <v>20</v>
      </c>
      <c r="AC21" s="36" t="str">
        <f t="shared" si="12"/>
        <v/>
      </c>
      <c r="AD21" s="133">
        <v>0.85</v>
      </c>
      <c r="AE21" s="36" t="str">
        <f t="shared" si="13"/>
        <v/>
      </c>
      <c r="AF21" s="134">
        <v>1.65</v>
      </c>
      <c r="AG21" s="36" t="str">
        <f t="shared" si="14"/>
        <v/>
      </c>
      <c r="AH21" s="165">
        <v>317</v>
      </c>
      <c r="AI21" s="162">
        <f t="shared" si="15"/>
        <v>711.12</v>
      </c>
      <c r="AJ21" s="36" t="str">
        <f t="shared" si="16"/>
        <v/>
      </c>
      <c r="AK21" s="143">
        <f t="shared" si="17"/>
        <v>952</v>
      </c>
      <c r="AL21" s="36" t="str">
        <f t="shared" si="18"/>
        <v/>
      </c>
      <c r="AM21" s="143">
        <f t="shared" si="19"/>
        <v>952</v>
      </c>
      <c r="AN21" s="36" t="str">
        <f t="shared" si="20"/>
        <v/>
      </c>
      <c r="AO21" s="143">
        <f t="shared" si="21"/>
        <v>952</v>
      </c>
      <c r="AP21" s="36" t="str">
        <f t="shared" si="22"/>
        <v/>
      </c>
      <c r="AQ21" s="143">
        <f t="shared" si="23"/>
        <v>952</v>
      </c>
      <c r="AR21" s="36" t="str">
        <f t="shared" si="24"/>
        <v/>
      </c>
      <c r="AS21" s="99"/>
      <c r="AT21" s="123">
        <f>23.8*40</f>
        <v>952</v>
      </c>
      <c r="AU21" s="123"/>
      <c r="AV21" s="123"/>
      <c r="AW21" s="123">
        <f t="shared" si="34"/>
        <v>952</v>
      </c>
      <c r="AX21" s="124">
        <f t="shared" si="25"/>
        <v>59.02</v>
      </c>
      <c r="AY21" s="124">
        <f t="shared" si="26"/>
        <v>13.8</v>
      </c>
      <c r="AZ21" s="128">
        <v>103</v>
      </c>
      <c r="BA21" s="125">
        <f t="shared" si="27"/>
        <v>29.23</v>
      </c>
      <c r="BB21" s="125">
        <f t="shared" si="28"/>
        <v>0.67</v>
      </c>
      <c r="BC21" s="125">
        <f t="shared" si="29"/>
        <v>12.66</v>
      </c>
      <c r="BD21" s="124">
        <v>20</v>
      </c>
      <c r="BE21" s="124">
        <v>0.85</v>
      </c>
      <c r="BF21" s="124">
        <v>1.65</v>
      </c>
      <c r="BG21" s="127">
        <f t="shared" si="30"/>
        <v>711.12</v>
      </c>
      <c r="BH21" s="124">
        <f t="shared" si="35"/>
        <v>952</v>
      </c>
      <c r="BI21" s="124">
        <f t="shared" si="36"/>
        <v>952</v>
      </c>
      <c r="BJ21" s="124">
        <f t="shared" si="37"/>
        <v>952</v>
      </c>
      <c r="BK21" s="124">
        <f t="shared" si="38"/>
        <v>952</v>
      </c>
    </row>
    <row r="22" spans="1:63" ht="15">
      <c r="A22" s="18" t="s">
        <v>82</v>
      </c>
      <c r="B22" s="103"/>
      <c r="C22" s="20"/>
      <c r="D22" s="193" t="s">
        <v>8</v>
      </c>
      <c r="E22" s="193">
        <v>3</v>
      </c>
      <c r="F22" s="176">
        <v>40</v>
      </c>
      <c r="G22" s="71"/>
      <c r="H22" s="67">
        <v>800</v>
      </c>
      <c r="I22" s="35" t="str">
        <f t="shared" si="0"/>
        <v/>
      </c>
      <c r="J22" s="136">
        <v>1.25</v>
      </c>
      <c r="K22" s="137">
        <f>ROUND(H22/40,2)*1.5</f>
        <v>30</v>
      </c>
      <c r="L22" s="76">
        <f>J22*K22</f>
        <v>37.5</v>
      </c>
      <c r="M22" s="35" t="str">
        <f t="shared" si="1"/>
        <v/>
      </c>
      <c r="N22" s="138">
        <f t="shared" si="2"/>
        <v>837.5</v>
      </c>
      <c r="O22" s="36" t="str">
        <f t="shared" si="3"/>
        <v/>
      </c>
      <c r="P22" s="142">
        <f t="shared" si="31"/>
        <v>51.93</v>
      </c>
      <c r="Q22" s="36" t="str">
        <f t="shared" si="4"/>
        <v/>
      </c>
      <c r="R22" s="143">
        <f t="shared" si="5"/>
        <v>12.14</v>
      </c>
      <c r="S22" s="36" t="str">
        <f t="shared" si="6"/>
        <v/>
      </c>
      <c r="T22" s="147">
        <v>42</v>
      </c>
      <c r="U22" s="36" t="str">
        <f t="shared" si="7"/>
        <v/>
      </c>
      <c r="V22" s="143">
        <f t="shared" si="8"/>
        <v>25.71</v>
      </c>
      <c r="W22" s="36" t="str">
        <f t="shared" si="9"/>
        <v/>
      </c>
      <c r="X22" s="25">
        <f t="shared" si="32"/>
        <v>0.59</v>
      </c>
      <c r="Y22" s="36" t="str">
        <f t="shared" si="10"/>
        <v/>
      </c>
      <c r="Z22" s="142">
        <f t="shared" si="33"/>
        <v>11.14</v>
      </c>
      <c r="AA22" s="36" t="str">
        <f t="shared" si="11"/>
        <v/>
      </c>
      <c r="AB22" s="142">
        <v>40</v>
      </c>
      <c r="AC22" s="36" t="str">
        <f t="shared" si="12"/>
        <v/>
      </c>
      <c r="AD22" s="133">
        <v>0.85</v>
      </c>
      <c r="AE22" s="36" t="str">
        <f t="shared" si="13"/>
        <v/>
      </c>
      <c r="AF22" s="134">
        <v>1.65</v>
      </c>
      <c r="AG22" s="36" t="str">
        <f t="shared" si="14"/>
        <v/>
      </c>
      <c r="AH22" s="165">
        <v>318</v>
      </c>
      <c r="AI22" s="162">
        <f t="shared" si="15"/>
        <v>651.49</v>
      </c>
      <c r="AJ22" s="36" t="str">
        <f t="shared" si="16"/>
        <v/>
      </c>
      <c r="AK22" s="143">
        <f t="shared" si="17"/>
        <v>837.5</v>
      </c>
      <c r="AL22" s="36" t="str">
        <f t="shared" si="18"/>
        <v/>
      </c>
      <c r="AM22" s="143">
        <f t="shared" si="19"/>
        <v>837.5</v>
      </c>
      <c r="AN22" s="36" t="str">
        <f t="shared" si="20"/>
        <v/>
      </c>
      <c r="AO22" s="143">
        <f t="shared" si="21"/>
        <v>837.5</v>
      </c>
      <c r="AP22" s="36" t="str">
        <f t="shared" si="22"/>
        <v/>
      </c>
      <c r="AQ22" s="143">
        <f t="shared" si="23"/>
        <v>837.5</v>
      </c>
      <c r="AR22" s="36" t="str">
        <f t="shared" si="24"/>
        <v/>
      </c>
      <c r="AS22" s="99"/>
      <c r="AT22" s="123">
        <v>800</v>
      </c>
      <c r="AU22" s="123">
        <f>ROUND(800/40,2)*1.5*1.25</f>
        <v>37.5</v>
      </c>
      <c r="AV22" s="123"/>
      <c r="AW22" s="123">
        <f t="shared" si="34"/>
        <v>837.5</v>
      </c>
      <c r="AX22" s="124">
        <f t="shared" si="25"/>
        <v>51.93</v>
      </c>
      <c r="AY22" s="124">
        <f t="shared" si="26"/>
        <v>12.14</v>
      </c>
      <c r="AZ22" s="128">
        <v>42</v>
      </c>
      <c r="BA22" s="125">
        <f t="shared" si="27"/>
        <v>25.71</v>
      </c>
      <c r="BB22" s="125">
        <f t="shared" si="28"/>
        <v>0.59</v>
      </c>
      <c r="BC22" s="125">
        <f t="shared" si="29"/>
        <v>11.14</v>
      </c>
      <c r="BD22" s="124">
        <v>40</v>
      </c>
      <c r="BE22" s="124">
        <v>0.85</v>
      </c>
      <c r="BF22" s="124">
        <v>1.65</v>
      </c>
      <c r="BG22" s="127">
        <f t="shared" si="30"/>
        <v>651.49</v>
      </c>
      <c r="BH22" s="124">
        <f t="shared" si="35"/>
        <v>837.5</v>
      </c>
      <c r="BI22" s="124">
        <f t="shared" si="36"/>
        <v>837.5</v>
      </c>
      <c r="BJ22" s="124">
        <f t="shared" si="37"/>
        <v>837.5</v>
      </c>
      <c r="BK22" s="124">
        <f t="shared" si="38"/>
        <v>837.5</v>
      </c>
    </row>
    <row r="23" spans="1:63" ht="15">
      <c r="A23" s="18" t="s">
        <v>83</v>
      </c>
      <c r="B23" s="103"/>
      <c r="C23" s="20"/>
      <c r="D23" s="193" t="s">
        <v>8</v>
      </c>
      <c r="E23" s="193">
        <v>4</v>
      </c>
      <c r="F23" s="176">
        <v>40</v>
      </c>
      <c r="G23" s="71"/>
      <c r="H23" s="67">
        <v>780</v>
      </c>
      <c r="I23" s="35" t="str">
        <f t="shared" si="0"/>
        <v/>
      </c>
      <c r="J23" s="78"/>
      <c r="K23" s="94"/>
      <c r="L23" s="67"/>
      <c r="M23" s="35" t="str">
        <f t="shared" si="1"/>
        <v/>
      </c>
      <c r="N23" s="138">
        <f t="shared" si="2"/>
        <v>780</v>
      </c>
      <c r="O23" s="36" t="str">
        <f t="shared" si="3"/>
        <v/>
      </c>
      <c r="P23" s="142">
        <f t="shared" si="31"/>
        <v>48.36</v>
      </c>
      <c r="Q23" s="36" t="str">
        <f t="shared" si="4"/>
        <v/>
      </c>
      <c r="R23" s="143">
        <f t="shared" si="5"/>
        <v>11.31</v>
      </c>
      <c r="S23" s="36" t="str">
        <f t="shared" si="6"/>
        <v/>
      </c>
      <c r="T23" s="147">
        <v>26</v>
      </c>
      <c r="U23" s="36" t="str">
        <f t="shared" si="7"/>
        <v/>
      </c>
      <c r="V23" s="143">
        <f t="shared" si="8"/>
        <v>23.95</v>
      </c>
      <c r="W23" s="36" t="str">
        <f t="shared" si="9"/>
        <v/>
      </c>
      <c r="X23" s="25">
        <f t="shared" si="32"/>
        <v>0.55000000000000004</v>
      </c>
      <c r="Y23" s="36" t="str">
        <f t="shared" si="10"/>
        <v/>
      </c>
      <c r="Z23" s="142">
        <f t="shared" si="33"/>
        <v>10.37</v>
      </c>
      <c r="AA23" s="36" t="str">
        <f t="shared" si="11"/>
        <v/>
      </c>
      <c r="AB23" s="142">
        <v>50</v>
      </c>
      <c r="AC23" s="36" t="str">
        <f t="shared" si="12"/>
        <v/>
      </c>
      <c r="AD23" s="133">
        <v>0.85</v>
      </c>
      <c r="AE23" s="36" t="str">
        <f t="shared" si="13"/>
        <v/>
      </c>
      <c r="AF23" s="134">
        <v>1.65</v>
      </c>
      <c r="AG23" s="36" t="str">
        <f t="shared" si="14"/>
        <v/>
      </c>
      <c r="AH23" s="165">
        <v>319</v>
      </c>
      <c r="AI23" s="162">
        <f t="shared" si="15"/>
        <v>606.96</v>
      </c>
      <c r="AJ23" s="36" t="str">
        <f t="shared" si="16"/>
        <v/>
      </c>
      <c r="AK23" s="143">
        <f t="shared" si="17"/>
        <v>780</v>
      </c>
      <c r="AL23" s="36" t="str">
        <f t="shared" si="18"/>
        <v/>
      </c>
      <c r="AM23" s="143">
        <f t="shared" si="19"/>
        <v>780</v>
      </c>
      <c r="AN23" s="36" t="str">
        <f t="shared" si="20"/>
        <v/>
      </c>
      <c r="AO23" s="143">
        <f t="shared" si="21"/>
        <v>780</v>
      </c>
      <c r="AP23" s="36" t="str">
        <f t="shared" si="22"/>
        <v/>
      </c>
      <c r="AQ23" s="143">
        <f t="shared" si="23"/>
        <v>780</v>
      </c>
      <c r="AR23" s="36" t="str">
        <f t="shared" si="24"/>
        <v/>
      </c>
      <c r="AS23" s="99"/>
      <c r="AT23" s="123">
        <v>780</v>
      </c>
      <c r="AU23" s="123"/>
      <c r="AV23" s="123"/>
      <c r="AW23" s="123">
        <f t="shared" si="34"/>
        <v>780</v>
      </c>
      <c r="AX23" s="124">
        <f t="shared" si="25"/>
        <v>48.36</v>
      </c>
      <c r="AY23" s="124">
        <f t="shared" si="26"/>
        <v>11.31</v>
      </c>
      <c r="AZ23" s="128">
        <v>26</v>
      </c>
      <c r="BA23" s="125">
        <f t="shared" si="27"/>
        <v>23.95</v>
      </c>
      <c r="BB23" s="125">
        <f t="shared" si="28"/>
        <v>0.55000000000000004</v>
      </c>
      <c r="BC23" s="125">
        <f t="shared" si="29"/>
        <v>10.37</v>
      </c>
      <c r="BD23" s="124">
        <v>50</v>
      </c>
      <c r="BE23" s="124">
        <v>0.85</v>
      </c>
      <c r="BF23" s="124">
        <v>1.65</v>
      </c>
      <c r="BG23" s="127">
        <f t="shared" si="30"/>
        <v>606.96</v>
      </c>
      <c r="BH23" s="124">
        <f t="shared" si="35"/>
        <v>780</v>
      </c>
      <c r="BI23" s="124">
        <f t="shared" si="36"/>
        <v>780</v>
      </c>
      <c r="BJ23" s="124">
        <f t="shared" si="37"/>
        <v>780</v>
      </c>
      <c r="BK23" s="124">
        <f t="shared" si="38"/>
        <v>780</v>
      </c>
    </row>
    <row r="24" spans="1:63" ht="15">
      <c r="A24" s="18" t="s">
        <v>84</v>
      </c>
      <c r="B24" s="103"/>
      <c r="C24" s="20"/>
      <c r="D24" s="193" t="s">
        <v>9</v>
      </c>
      <c r="E24" s="193">
        <v>1</v>
      </c>
      <c r="F24" s="176">
        <v>40</v>
      </c>
      <c r="G24" s="71"/>
      <c r="H24" s="67">
        <f>ROUND(3500*12/52,2)</f>
        <v>807.69</v>
      </c>
      <c r="I24" s="35" t="str">
        <f t="shared" si="0"/>
        <v/>
      </c>
      <c r="J24" s="78"/>
      <c r="K24" s="94"/>
      <c r="L24" s="67"/>
      <c r="M24" s="35" t="str">
        <f t="shared" si="1"/>
        <v/>
      </c>
      <c r="N24" s="138">
        <f t="shared" si="2"/>
        <v>807.69</v>
      </c>
      <c r="O24" s="36" t="str">
        <f t="shared" si="3"/>
        <v/>
      </c>
      <c r="P24" s="142">
        <f t="shared" si="31"/>
        <v>50.08</v>
      </c>
      <c r="Q24" s="36" t="str">
        <f t="shared" si="4"/>
        <v/>
      </c>
      <c r="R24" s="143">
        <f t="shared" si="5"/>
        <v>11.71</v>
      </c>
      <c r="S24" s="36" t="str">
        <f t="shared" si="6"/>
        <v/>
      </c>
      <c r="T24" s="147">
        <v>86</v>
      </c>
      <c r="U24" s="36" t="str">
        <f t="shared" si="7"/>
        <v/>
      </c>
      <c r="V24" s="143">
        <f t="shared" si="8"/>
        <v>24.8</v>
      </c>
      <c r="W24" s="36" t="str">
        <f t="shared" si="9"/>
        <v/>
      </c>
      <c r="X24" s="25">
        <f t="shared" si="32"/>
        <v>0.56999999999999995</v>
      </c>
      <c r="Y24" s="36" t="str">
        <f t="shared" si="10"/>
        <v/>
      </c>
      <c r="Z24" s="142">
        <f t="shared" si="33"/>
        <v>10.74</v>
      </c>
      <c r="AA24" s="36" t="str">
        <f t="shared" si="11"/>
        <v/>
      </c>
      <c r="AB24" s="142">
        <v>50</v>
      </c>
      <c r="AC24" s="36" t="str">
        <f t="shared" si="12"/>
        <v/>
      </c>
      <c r="AD24" s="133">
        <v>0</v>
      </c>
      <c r="AE24" s="36" t="str">
        <f t="shared" si="13"/>
        <v/>
      </c>
      <c r="AF24" s="134">
        <v>1.65</v>
      </c>
      <c r="AG24" s="36" t="str">
        <f t="shared" si="14"/>
        <v/>
      </c>
      <c r="AH24" s="165">
        <v>320</v>
      </c>
      <c r="AI24" s="162">
        <f t="shared" si="15"/>
        <v>572.14</v>
      </c>
      <c r="AJ24" s="36" t="str">
        <f t="shared" si="16"/>
        <v/>
      </c>
      <c r="AK24" s="143">
        <f t="shared" si="17"/>
        <v>807.69</v>
      </c>
      <c r="AL24" s="36" t="str">
        <f t="shared" si="18"/>
        <v/>
      </c>
      <c r="AM24" s="143">
        <f t="shared" si="19"/>
        <v>807.69</v>
      </c>
      <c r="AN24" s="36" t="str">
        <f t="shared" si="20"/>
        <v/>
      </c>
      <c r="AO24" s="143">
        <f t="shared" si="21"/>
        <v>807.69</v>
      </c>
      <c r="AP24" s="36" t="str">
        <f t="shared" si="22"/>
        <v/>
      </c>
      <c r="AQ24" s="143">
        <f t="shared" si="23"/>
        <v>807.69</v>
      </c>
      <c r="AR24" s="36" t="str">
        <f t="shared" si="24"/>
        <v/>
      </c>
      <c r="AS24" s="99"/>
      <c r="AT24" s="123">
        <f>ROUND(3500*12/52,2)</f>
        <v>807.69</v>
      </c>
      <c r="AU24" s="123"/>
      <c r="AV24" s="123"/>
      <c r="AW24" s="123">
        <f t="shared" si="34"/>
        <v>807.69</v>
      </c>
      <c r="AX24" s="124">
        <f t="shared" si="25"/>
        <v>50.08</v>
      </c>
      <c r="AY24" s="124">
        <f t="shared" si="26"/>
        <v>11.71</v>
      </c>
      <c r="AZ24" s="128">
        <v>86</v>
      </c>
      <c r="BA24" s="125">
        <f t="shared" si="27"/>
        <v>24.8</v>
      </c>
      <c r="BB24" s="125">
        <f t="shared" si="28"/>
        <v>0.56999999999999995</v>
      </c>
      <c r="BC24" s="125">
        <f t="shared" si="29"/>
        <v>10.74</v>
      </c>
      <c r="BD24" s="124">
        <v>50</v>
      </c>
      <c r="BE24" s="124">
        <v>0</v>
      </c>
      <c r="BF24" s="124">
        <v>1.65</v>
      </c>
      <c r="BG24" s="127">
        <f t="shared" si="30"/>
        <v>572.14</v>
      </c>
      <c r="BH24" s="124">
        <f t="shared" si="35"/>
        <v>807.69</v>
      </c>
      <c r="BI24" s="124">
        <f t="shared" si="36"/>
        <v>807.69</v>
      </c>
      <c r="BJ24" s="124">
        <f t="shared" si="37"/>
        <v>807.69</v>
      </c>
      <c r="BK24" s="124">
        <f t="shared" si="38"/>
        <v>807.69</v>
      </c>
    </row>
    <row r="25" spans="1:63" ht="15">
      <c r="A25" s="18" t="s">
        <v>85</v>
      </c>
      <c r="B25" s="103"/>
      <c r="C25" s="20"/>
      <c r="D25" s="193" t="s">
        <v>8</v>
      </c>
      <c r="E25" s="193">
        <v>5</v>
      </c>
      <c r="F25" s="176">
        <v>40</v>
      </c>
      <c r="G25" s="71"/>
      <c r="H25" s="67">
        <f>ROUND(4500*12/52,2)</f>
        <v>1038.46</v>
      </c>
      <c r="I25" s="35" t="str">
        <f t="shared" si="0"/>
        <v/>
      </c>
      <c r="J25" s="78">
        <v>5</v>
      </c>
      <c r="K25" s="94">
        <f>ROUND(H25/40,2)*1.5</f>
        <v>38.94</v>
      </c>
      <c r="L25" s="74">
        <f>J25*K25</f>
        <v>194.7</v>
      </c>
      <c r="M25" s="35" t="str">
        <f t="shared" si="1"/>
        <v/>
      </c>
      <c r="N25" s="138">
        <f t="shared" si="2"/>
        <v>1233.1600000000001</v>
      </c>
      <c r="O25" s="36" t="str">
        <f t="shared" si="3"/>
        <v/>
      </c>
      <c r="P25" s="142">
        <f t="shared" si="31"/>
        <v>76.459999999999994</v>
      </c>
      <c r="Q25" s="36" t="str">
        <f t="shared" si="4"/>
        <v/>
      </c>
      <c r="R25" s="143">
        <f t="shared" si="5"/>
        <v>17.88</v>
      </c>
      <c r="S25" s="36" t="str">
        <f t="shared" si="6"/>
        <v/>
      </c>
      <c r="T25" s="147">
        <v>81</v>
      </c>
      <c r="U25" s="36" t="str">
        <f t="shared" si="7"/>
        <v/>
      </c>
      <c r="V25" s="143">
        <f t="shared" si="8"/>
        <v>37.86</v>
      </c>
      <c r="W25" s="36" t="str">
        <f t="shared" si="9"/>
        <v/>
      </c>
      <c r="X25" s="25">
        <f t="shared" si="32"/>
        <v>0.86</v>
      </c>
      <c r="Y25" s="36" t="str">
        <f t="shared" si="10"/>
        <v/>
      </c>
      <c r="Z25" s="142">
        <f t="shared" si="33"/>
        <v>16.399999999999999</v>
      </c>
      <c r="AA25" s="36" t="str">
        <f t="shared" si="11"/>
        <v/>
      </c>
      <c r="AB25" s="142">
        <v>30</v>
      </c>
      <c r="AC25" s="36" t="str">
        <f t="shared" si="12"/>
        <v/>
      </c>
      <c r="AD25" s="133">
        <v>0.85</v>
      </c>
      <c r="AE25" s="36" t="str">
        <f t="shared" si="13"/>
        <v/>
      </c>
      <c r="AF25" s="134">
        <v>1.65</v>
      </c>
      <c r="AG25" s="36" t="str">
        <f t="shared" si="14"/>
        <v/>
      </c>
      <c r="AH25" s="165">
        <v>321</v>
      </c>
      <c r="AI25" s="162">
        <f t="shared" si="15"/>
        <v>970.2</v>
      </c>
      <c r="AJ25" s="36" t="str">
        <f t="shared" si="16"/>
        <v/>
      </c>
      <c r="AK25" s="143">
        <f t="shared" si="17"/>
        <v>1233.1600000000001</v>
      </c>
      <c r="AL25" s="36" t="str">
        <f t="shared" si="18"/>
        <v/>
      </c>
      <c r="AM25" s="143">
        <f t="shared" si="19"/>
        <v>1233.1600000000001</v>
      </c>
      <c r="AN25" s="36" t="str">
        <f t="shared" si="20"/>
        <v/>
      </c>
      <c r="AO25" s="143">
        <f t="shared" si="21"/>
        <v>1233.1600000000001</v>
      </c>
      <c r="AP25" s="36" t="str">
        <f t="shared" si="22"/>
        <v/>
      </c>
      <c r="AQ25" s="143">
        <f t="shared" si="23"/>
        <v>1233.1600000000001</v>
      </c>
      <c r="AR25" s="36" t="str">
        <f t="shared" si="24"/>
        <v/>
      </c>
      <c r="AS25" s="99"/>
      <c r="AT25" s="123">
        <f>ROUND(4500*12/52,2)</f>
        <v>1038.46</v>
      </c>
      <c r="AU25" s="123">
        <f>ROUND(AT25/40,2)*1.5*5</f>
        <v>194.7</v>
      </c>
      <c r="AV25" s="123"/>
      <c r="AW25" s="123">
        <f t="shared" si="34"/>
        <v>1233.1600000000001</v>
      </c>
      <c r="AX25" s="124">
        <f t="shared" si="25"/>
        <v>76.459999999999994</v>
      </c>
      <c r="AY25" s="124">
        <f t="shared" si="26"/>
        <v>17.88</v>
      </c>
      <c r="AZ25" s="128">
        <v>81</v>
      </c>
      <c r="BA25" s="125">
        <f t="shared" si="27"/>
        <v>37.86</v>
      </c>
      <c r="BB25" s="125">
        <f t="shared" si="28"/>
        <v>0.86</v>
      </c>
      <c r="BC25" s="125">
        <f t="shared" si="29"/>
        <v>16.399999999999999</v>
      </c>
      <c r="BD25" s="124">
        <v>30</v>
      </c>
      <c r="BE25" s="124">
        <v>0.85</v>
      </c>
      <c r="BF25" s="124">
        <v>1.65</v>
      </c>
      <c r="BG25" s="127">
        <f t="shared" si="30"/>
        <v>970.2</v>
      </c>
      <c r="BH25" s="124">
        <f t="shared" si="35"/>
        <v>1233.1600000000001</v>
      </c>
      <c r="BI25" s="124">
        <f t="shared" si="36"/>
        <v>1233.1600000000001</v>
      </c>
      <c r="BJ25" s="124">
        <f t="shared" si="37"/>
        <v>1233.1600000000001</v>
      </c>
      <c r="BK25" s="124">
        <f t="shared" si="38"/>
        <v>1233.1600000000001</v>
      </c>
    </row>
    <row r="26" spans="1:63" ht="15">
      <c r="A26" s="18" t="s">
        <v>86</v>
      </c>
      <c r="B26" s="103"/>
      <c r="C26" s="20"/>
      <c r="D26" s="193" t="s">
        <v>8</v>
      </c>
      <c r="E26" s="193">
        <v>7</v>
      </c>
      <c r="F26" s="176">
        <v>40</v>
      </c>
      <c r="G26" s="71"/>
      <c r="H26" s="69">
        <f>ROUND(78000/52,2)</f>
        <v>1500</v>
      </c>
      <c r="I26" s="35" t="str">
        <f t="shared" si="0"/>
        <v/>
      </c>
      <c r="J26" s="79"/>
      <c r="K26" s="79"/>
      <c r="L26" s="69"/>
      <c r="M26" s="35" t="str">
        <f t="shared" si="1"/>
        <v/>
      </c>
      <c r="N26" s="138">
        <f t="shared" si="2"/>
        <v>1500</v>
      </c>
      <c r="O26" s="47" t="str">
        <f t="shared" si="3"/>
        <v/>
      </c>
      <c r="P26" s="142">
        <f t="shared" si="31"/>
        <v>93</v>
      </c>
      <c r="Q26" s="5" t="str">
        <f t="shared" si="4"/>
        <v/>
      </c>
      <c r="R26" s="143">
        <f t="shared" si="5"/>
        <v>21.75</v>
      </c>
      <c r="S26" s="36" t="str">
        <f t="shared" si="6"/>
        <v/>
      </c>
      <c r="T26" s="148">
        <v>89.76</v>
      </c>
      <c r="U26" s="50" t="str">
        <f t="shared" si="7"/>
        <v/>
      </c>
      <c r="V26" s="143">
        <f t="shared" si="8"/>
        <v>46.05</v>
      </c>
      <c r="W26" s="36" t="str">
        <f t="shared" si="9"/>
        <v/>
      </c>
      <c r="X26" s="25">
        <f t="shared" si="32"/>
        <v>1.05</v>
      </c>
      <c r="Y26" s="61" t="str">
        <f t="shared" si="10"/>
        <v/>
      </c>
      <c r="Z26" s="149">
        <f t="shared" si="33"/>
        <v>19.95</v>
      </c>
      <c r="AA26" s="36" t="str">
        <f t="shared" si="11"/>
        <v/>
      </c>
      <c r="AB26" s="149">
        <v>80</v>
      </c>
      <c r="AC26" s="36" t="str">
        <f t="shared" si="12"/>
        <v/>
      </c>
      <c r="AD26" s="146">
        <v>0.85</v>
      </c>
      <c r="AE26" s="61" t="str">
        <f t="shared" si="13"/>
        <v/>
      </c>
      <c r="AF26" s="134">
        <v>1.65</v>
      </c>
      <c r="AG26" s="61" t="str">
        <f t="shared" si="14"/>
        <v/>
      </c>
      <c r="AH26" s="165">
        <v>322</v>
      </c>
      <c r="AI26" s="162">
        <f t="shared" si="15"/>
        <v>1145.94</v>
      </c>
      <c r="AJ26" s="36" t="str">
        <f t="shared" si="16"/>
        <v/>
      </c>
      <c r="AK26" s="143">
        <f t="shared" si="17"/>
        <v>1500</v>
      </c>
      <c r="AL26" s="61" t="str">
        <f t="shared" si="18"/>
        <v/>
      </c>
      <c r="AM26" s="143">
        <f t="shared" si="19"/>
        <v>1500</v>
      </c>
      <c r="AN26" s="61" t="str">
        <f t="shared" si="20"/>
        <v/>
      </c>
      <c r="AO26" s="143">
        <f t="shared" si="21"/>
        <v>1500</v>
      </c>
      <c r="AP26" s="36" t="str">
        <f t="shared" si="22"/>
        <v/>
      </c>
      <c r="AQ26" s="143">
        <f t="shared" si="23"/>
        <v>1500</v>
      </c>
      <c r="AR26" s="36" t="str">
        <f t="shared" si="24"/>
        <v/>
      </c>
      <c r="AS26" s="99"/>
      <c r="AT26" s="123">
        <f>ROUND(78000/52,2)</f>
        <v>1500</v>
      </c>
      <c r="AU26" s="123"/>
      <c r="AV26" s="123"/>
      <c r="AW26" s="123">
        <f t="shared" si="34"/>
        <v>1500</v>
      </c>
      <c r="AX26" s="124">
        <f t="shared" si="25"/>
        <v>93</v>
      </c>
      <c r="AY26" s="124">
        <f t="shared" si="26"/>
        <v>21.75</v>
      </c>
      <c r="AZ26" s="129">
        <v>89.76</v>
      </c>
      <c r="BA26" s="125">
        <f t="shared" si="27"/>
        <v>46.05</v>
      </c>
      <c r="BB26" s="125">
        <f t="shared" si="28"/>
        <v>1.05</v>
      </c>
      <c r="BC26" s="125">
        <f t="shared" si="29"/>
        <v>19.95</v>
      </c>
      <c r="BD26" s="130">
        <v>80</v>
      </c>
      <c r="BE26" s="130">
        <v>0.85</v>
      </c>
      <c r="BF26" s="130">
        <v>1.65</v>
      </c>
      <c r="BG26" s="127">
        <f t="shared" si="30"/>
        <v>1145.94</v>
      </c>
      <c r="BH26" s="130">
        <f t="shared" si="35"/>
        <v>1500</v>
      </c>
      <c r="BI26" s="131">
        <f t="shared" si="36"/>
        <v>1500</v>
      </c>
      <c r="BJ26" s="131">
        <f t="shared" si="37"/>
        <v>1500</v>
      </c>
      <c r="BK26" s="131">
        <f t="shared" si="38"/>
        <v>1500</v>
      </c>
    </row>
    <row r="27" spans="1:63" ht="15.5" thickBot="1">
      <c r="A27" s="18" t="s">
        <v>14</v>
      </c>
      <c r="B27" s="103"/>
      <c r="C27" s="20"/>
      <c r="D27" s="19"/>
      <c r="E27" s="19"/>
      <c r="F27" s="65"/>
      <c r="G27" s="19"/>
      <c r="H27" s="135">
        <f>SUM(H17:H26)</f>
        <v>8901.4500000000007</v>
      </c>
      <c r="I27" s="37" t="str">
        <f t="shared" si="0"/>
        <v/>
      </c>
      <c r="J27" s="100"/>
      <c r="K27" s="101"/>
      <c r="L27" s="135">
        <f>SUM(L17:L26)</f>
        <v>738.35</v>
      </c>
      <c r="M27" s="37" t="str">
        <f t="shared" si="1"/>
        <v/>
      </c>
      <c r="N27" s="139">
        <f>SUM(N17:N26)</f>
        <v>9639.7999999999993</v>
      </c>
      <c r="O27" s="37" t="str">
        <f t="shared" si="3"/>
        <v/>
      </c>
      <c r="P27" s="139">
        <f>SUM(P17:P26)</f>
        <v>597.67999999999995</v>
      </c>
      <c r="Q27" s="37" t="str">
        <f t="shared" si="4"/>
        <v/>
      </c>
      <c r="R27" s="139">
        <f>SUM(R17:R26)</f>
        <v>139.77000000000001</v>
      </c>
      <c r="S27" s="37" t="str">
        <f t="shared" si="6"/>
        <v/>
      </c>
      <c r="T27" s="139">
        <f>SUM(T17:T26)</f>
        <v>772.76</v>
      </c>
      <c r="U27" s="37" t="str">
        <f t="shared" si="7"/>
        <v/>
      </c>
      <c r="V27" s="139">
        <f>SUM(V17:V26)</f>
        <v>295.95999999999998</v>
      </c>
      <c r="W27" s="37" t="str">
        <f t="shared" si="9"/>
        <v/>
      </c>
      <c r="X27" s="70">
        <f>SUM(X17:X26)</f>
        <v>6.76</v>
      </c>
      <c r="Y27" s="37" t="str">
        <f t="shared" si="10"/>
        <v/>
      </c>
      <c r="Z27" s="139">
        <f>SUM(Z17:Z26)</f>
        <v>128.19</v>
      </c>
      <c r="AA27" s="37" t="str">
        <f t="shared" si="11"/>
        <v/>
      </c>
      <c r="AB27" s="139">
        <f>SUM(AB17:AB26)</f>
        <v>440</v>
      </c>
      <c r="AC27" s="37" t="str">
        <f t="shared" si="12"/>
        <v/>
      </c>
      <c r="AD27" s="122">
        <f>SUM(AD17:AD26)</f>
        <v>6.8</v>
      </c>
      <c r="AE27" s="37" t="str">
        <f t="shared" si="13"/>
        <v/>
      </c>
      <c r="AF27" s="122">
        <f>SUM(AF17:AF26)</f>
        <v>16.5</v>
      </c>
      <c r="AG27" s="37" t="str">
        <f t="shared" si="14"/>
        <v/>
      </c>
      <c r="AH27" s="91"/>
      <c r="AI27" s="122">
        <f>SUM(AI17:AI26)</f>
        <v>7235.38</v>
      </c>
      <c r="AJ27" s="37" t="str">
        <f t="shared" si="16"/>
        <v/>
      </c>
      <c r="AK27" s="139">
        <f>SUM(AK17:AK26)</f>
        <v>9639.7999999999993</v>
      </c>
      <c r="AL27" s="37" t="str">
        <f t="shared" si="18"/>
        <v/>
      </c>
      <c r="AM27" s="139">
        <f>SUM(AM17:AM26)</f>
        <v>9639.7999999999993</v>
      </c>
      <c r="AN27" s="37" t="str">
        <f t="shared" si="20"/>
        <v/>
      </c>
      <c r="AO27" s="139">
        <f>SUM(AO17:AO26)</f>
        <v>9639.7999999999993</v>
      </c>
      <c r="AP27" s="37" t="str">
        <f t="shared" si="22"/>
        <v/>
      </c>
      <c r="AQ27" s="139">
        <f>SUM(AQ17:AQ26)</f>
        <v>9639.7999999999993</v>
      </c>
      <c r="AR27" s="37" t="str">
        <f t="shared" si="24"/>
        <v/>
      </c>
      <c r="AS27" s="99"/>
      <c r="AT27" s="70">
        <f>SUM(AT17:AT26)</f>
        <v>8901.4500000000007</v>
      </c>
      <c r="AU27" s="132">
        <f>SUM(AU17:AU26)</f>
        <v>738.35</v>
      </c>
      <c r="AV27" s="141"/>
      <c r="AW27" s="132">
        <f>SUM(AW17:AW26)</f>
        <v>9639.7999999999993</v>
      </c>
      <c r="AX27" s="132">
        <f t="shared" ref="AX27:BK27" si="39">SUM(AX17:AX26)</f>
        <v>597.67999999999995</v>
      </c>
      <c r="AY27" s="132">
        <f t="shared" si="39"/>
        <v>139.77000000000001</v>
      </c>
      <c r="AZ27" s="132">
        <f t="shared" si="39"/>
        <v>772.76</v>
      </c>
      <c r="BA27" s="132">
        <f t="shared" si="39"/>
        <v>295.95999999999998</v>
      </c>
      <c r="BB27" s="132">
        <f t="shared" si="39"/>
        <v>6.76</v>
      </c>
      <c r="BC27" s="132">
        <f t="shared" si="39"/>
        <v>128.19</v>
      </c>
      <c r="BD27" s="132">
        <f t="shared" si="39"/>
        <v>440</v>
      </c>
      <c r="BE27" s="132">
        <f t="shared" si="39"/>
        <v>6.8</v>
      </c>
      <c r="BF27" s="132">
        <f t="shared" si="39"/>
        <v>16.5</v>
      </c>
      <c r="BG27" s="132">
        <f t="shared" si="39"/>
        <v>7235.38</v>
      </c>
      <c r="BH27" s="132">
        <f t="shared" si="39"/>
        <v>9639.7999999999993</v>
      </c>
      <c r="BI27" s="132">
        <f t="shared" si="39"/>
        <v>9639.7999999999993</v>
      </c>
      <c r="BJ27" s="132">
        <f t="shared" si="39"/>
        <v>9639.7999999999993</v>
      </c>
      <c r="BK27" s="132">
        <f t="shared" si="39"/>
        <v>9639.7999999999993</v>
      </c>
    </row>
    <row r="28" spans="1:63" ht="13" thickTop="1"/>
    <row r="30" spans="1:63" ht="13">
      <c r="C30" s="211" t="s">
        <v>25</v>
      </c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R30" s="4"/>
      <c r="S30" s="4"/>
      <c r="T30" s="105" t="s">
        <v>96</v>
      </c>
      <c r="U30" s="4"/>
      <c r="V30" s="4"/>
      <c r="W30" s="4"/>
      <c r="X30" s="105" t="s">
        <v>93</v>
      </c>
      <c r="Y30" s="4"/>
    </row>
    <row r="31" spans="1:63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R31" s="4"/>
      <c r="S31" s="4"/>
      <c r="T31" s="105" t="s">
        <v>97</v>
      </c>
      <c r="U31" s="4"/>
      <c r="V31" s="105" t="s">
        <v>98</v>
      </c>
      <c r="W31" s="4"/>
      <c r="X31" s="105" t="s">
        <v>100</v>
      </c>
      <c r="Y31" s="4"/>
    </row>
    <row r="32" spans="1:63" ht="15.5">
      <c r="C32" s="58"/>
      <c r="D32" s="213" t="s">
        <v>22</v>
      </c>
      <c r="E32" s="213"/>
      <c r="F32" s="58"/>
      <c r="G32" s="213" t="s">
        <v>21</v>
      </c>
      <c r="H32" s="213"/>
      <c r="I32" s="213"/>
      <c r="J32" s="213"/>
      <c r="K32" s="57"/>
      <c r="L32" s="58" t="s">
        <v>23</v>
      </c>
      <c r="M32" s="57"/>
      <c r="N32" s="58" t="s">
        <v>24</v>
      </c>
      <c r="O32" s="57"/>
      <c r="R32" s="4" t="s">
        <v>99</v>
      </c>
      <c r="S32" s="4"/>
      <c r="T32" s="185">
        <f>AO27</f>
        <v>9639.7999999999993</v>
      </c>
      <c r="U32" s="39" t="str">
        <f>IF(OR(T32="",T32=BB36),"","*")</f>
        <v/>
      </c>
      <c r="V32" s="186">
        <v>6.0000000000000001E-3</v>
      </c>
      <c r="W32" s="155" t="str">
        <f>IF(OR(V32="",V32=BC36),"","*")</f>
        <v/>
      </c>
      <c r="X32" s="185">
        <f>T32*V32</f>
        <v>57.84</v>
      </c>
      <c r="Y32" s="155" t="str">
        <f>IF(OR(X32="",X32=BD36),"","*")</f>
        <v/>
      </c>
    </row>
    <row r="33" spans="3:59" ht="13">
      <c r="C33" s="4"/>
      <c r="D33" s="4" t="s">
        <v>20</v>
      </c>
      <c r="E33" s="4"/>
      <c r="F33" s="4"/>
      <c r="G33" s="214"/>
      <c r="H33" s="214"/>
      <c r="I33" s="214"/>
      <c r="J33" s="214"/>
      <c r="K33" s="4"/>
      <c r="L33" s="4"/>
      <c r="M33" s="4"/>
      <c r="N33" s="4"/>
      <c r="O33" s="4"/>
      <c r="R33" s="4"/>
      <c r="S33" s="4"/>
      <c r="T33" s="160"/>
      <c r="U33" s="4"/>
      <c r="V33" s="160"/>
      <c r="W33" s="4"/>
      <c r="X33" s="161" t="s">
        <v>101</v>
      </c>
      <c r="Y33" s="4"/>
    </row>
    <row r="34" spans="3:59" ht="15.5">
      <c r="C34" s="4"/>
      <c r="D34" s="208" t="s">
        <v>70</v>
      </c>
      <c r="E34" s="209"/>
      <c r="F34" s="4" t="s">
        <v>53</v>
      </c>
      <c r="G34" s="4"/>
      <c r="H34" s="4"/>
      <c r="I34" s="4"/>
      <c r="J34" s="4"/>
      <c r="K34" s="39"/>
      <c r="L34" s="163">
        <f>N27</f>
        <v>9639.7999999999993</v>
      </c>
      <c r="M34" s="39" t="str">
        <f>IF(OR(L34="",L34=AU34),"","*")</f>
        <v/>
      </c>
      <c r="N34" s="4"/>
      <c r="O34" s="4"/>
      <c r="R34" s="4" t="s">
        <v>16</v>
      </c>
      <c r="S34" s="4"/>
      <c r="T34" s="185">
        <f>AQ27</f>
        <v>9639.7999999999993</v>
      </c>
      <c r="U34" s="155" t="str">
        <f>IF(OR(T34="",T34=BB38),"","*")</f>
        <v/>
      </c>
      <c r="V34" s="199">
        <v>3.6784999999999998E-2</v>
      </c>
      <c r="W34" s="155" t="str">
        <f>IF(OR(V34="",V34=BC38),"","*")</f>
        <v/>
      </c>
      <c r="X34" s="185">
        <f>T34*V34</f>
        <v>354.6</v>
      </c>
      <c r="Y34" s="155" t="str">
        <f>IF(OR(X34="",X34=BD38),"","*")</f>
        <v/>
      </c>
      <c r="AU34" s="56">
        <f>AW27</f>
        <v>9639.7999999999993</v>
      </c>
      <c r="AW34" s="4"/>
      <c r="AZ34" s="1"/>
      <c r="BA34" s="1"/>
      <c r="BB34" s="105" t="s">
        <v>96</v>
      </c>
      <c r="BC34" s="4"/>
      <c r="BD34" s="4" t="s">
        <v>93</v>
      </c>
      <c r="BE34" s="1"/>
      <c r="BF34" s="1"/>
      <c r="BG34" s="1"/>
    </row>
    <row r="35" spans="3:59" ht="15">
      <c r="C35" s="4"/>
      <c r="D35" s="208"/>
      <c r="E35" s="209"/>
      <c r="F35" s="59"/>
      <c r="G35" s="4" t="s">
        <v>54</v>
      </c>
      <c r="H35" s="4"/>
      <c r="I35" s="4"/>
      <c r="J35" s="4"/>
      <c r="K35" s="39"/>
      <c r="L35" s="4"/>
      <c r="M35" s="39" t="s">
        <v>52</v>
      </c>
      <c r="N35" s="163">
        <f>P27</f>
        <v>597.67999999999995</v>
      </c>
      <c r="O35" s="39" t="str">
        <f t="shared" ref="O35:O44" si="40">IF(OR(N35="",N35=AW35),"","*")</f>
        <v/>
      </c>
      <c r="AU35" s="4"/>
      <c r="AW35" s="56">
        <f>AX27</f>
        <v>597.67999999999995</v>
      </c>
      <c r="AZ35" s="1"/>
      <c r="BA35" s="1"/>
      <c r="BB35" s="105" t="s">
        <v>97</v>
      </c>
      <c r="BC35" s="4" t="s">
        <v>98</v>
      </c>
      <c r="BD35" s="4" t="s">
        <v>100</v>
      </c>
      <c r="BE35" s="1"/>
      <c r="BF35" s="1"/>
      <c r="BG35" s="1"/>
    </row>
    <row r="36" spans="3:59" ht="15">
      <c r="C36" s="4"/>
      <c r="D36" s="4"/>
      <c r="E36" s="4"/>
      <c r="F36" s="59"/>
      <c r="G36" s="4" t="s">
        <v>55</v>
      </c>
      <c r="H36" s="4"/>
      <c r="I36" s="4"/>
      <c r="J36" s="4"/>
      <c r="K36" s="39"/>
      <c r="L36" s="4"/>
      <c r="M36" s="39" t="s">
        <v>52</v>
      </c>
      <c r="N36" s="163">
        <f>R27</f>
        <v>139.77000000000001</v>
      </c>
      <c r="O36" s="39" t="str">
        <f t="shared" si="40"/>
        <v/>
      </c>
      <c r="AU36" s="4"/>
      <c r="AW36" s="56">
        <f>AY27</f>
        <v>139.77000000000001</v>
      </c>
      <c r="AZ36" s="1"/>
      <c r="BA36" s="1"/>
      <c r="BB36" s="151">
        <f>BJ27</f>
        <v>9639.7999999999993</v>
      </c>
      <c r="BC36" s="150">
        <f>BJ15</f>
        <v>6.0000000000000001E-3</v>
      </c>
      <c r="BD36" s="153">
        <f>BB36*BC36</f>
        <v>57.84</v>
      </c>
      <c r="BE36" s="1"/>
      <c r="BF36" s="1"/>
      <c r="BG36" s="1"/>
    </row>
    <row r="37" spans="3:59" ht="15">
      <c r="C37" s="4"/>
      <c r="D37" s="4"/>
      <c r="E37" s="4"/>
      <c r="F37" s="59"/>
      <c r="G37" s="4" t="s">
        <v>56</v>
      </c>
      <c r="H37" s="4"/>
      <c r="I37" s="4"/>
      <c r="J37" s="4"/>
      <c r="K37" s="39"/>
      <c r="L37" s="4"/>
      <c r="M37" s="39" t="s">
        <v>52</v>
      </c>
      <c r="N37" s="163">
        <f>T27</f>
        <v>772.76</v>
      </c>
      <c r="O37" s="39" t="str">
        <f t="shared" si="40"/>
        <v/>
      </c>
      <c r="AU37" s="4"/>
      <c r="AW37" s="56">
        <f>AZ27</f>
        <v>772.76</v>
      </c>
      <c r="AZ37" s="1"/>
      <c r="BA37" s="1"/>
      <c r="BB37" s="152"/>
      <c r="BC37" s="4"/>
      <c r="BD37" s="154" t="s">
        <v>101</v>
      </c>
      <c r="BE37" s="1"/>
      <c r="BF37" s="1"/>
      <c r="BG37" s="1"/>
    </row>
    <row r="38" spans="3:59" ht="15">
      <c r="C38" s="4"/>
      <c r="D38" s="4"/>
      <c r="E38" s="4"/>
      <c r="F38" s="4"/>
      <c r="G38" s="4" t="s">
        <v>57</v>
      </c>
      <c r="H38" s="4"/>
      <c r="I38" s="4"/>
      <c r="J38" s="4"/>
      <c r="K38" s="39"/>
      <c r="L38" s="4"/>
      <c r="M38" s="4"/>
      <c r="N38" s="163">
        <f>V27</f>
        <v>295.95999999999998</v>
      </c>
      <c r="O38" s="39" t="str">
        <f t="shared" si="40"/>
        <v/>
      </c>
      <c r="AU38" s="4"/>
      <c r="AW38" s="56">
        <f>BA27</f>
        <v>295.95999999999998</v>
      </c>
      <c r="AZ38" s="1"/>
      <c r="BA38" s="1"/>
      <c r="BB38" s="152">
        <f>BK27</f>
        <v>9639.7999999999993</v>
      </c>
      <c r="BC38" s="150">
        <f>BK15</f>
        <v>3.6784999999999998E-2</v>
      </c>
      <c r="BD38" s="153">
        <f>BB38*BC38</f>
        <v>354.6</v>
      </c>
      <c r="BE38" s="1"/>
      <c r="BF38" s="1"/>
      <c r="BG38" s="1"/>
    </row>
    <row r="39" spans="3:59" ht="15">
      <c r="C39" s="4"/>
      <c r="D39" s="208"/>
      <c r="E39" s="209"/>
      <c r="F39" s="59"/>
      <c r="G39" s="4" t="s">
        <v>58</v>
      </c>
      <c r="H39" s="4"/>
      <c r="I39" s="4"/>
      <c r="J39" s="4"/>
      <c r="K39" s="39"/>
      <c r="L39" s="4"/>
      <c r="M39" s="39" t="s">
        <v>52</v>
      </c>
      <c r="N39" s="163">
        <f>X27</f>
        <v>6.76</v>
      </c>
      <c r="O39" s="39" t="str">
        <f t="shared" si="40"/>
        <v/>
      </c>
      <c r="AU39" s="4"/>
      <c r="AW39" s="56">
        <f>BB27</f>
        <v>6.76</v>
      </c>
    </row>
    <row r="40" spans="3:59" ht="15">
      <c r="C40" s="4"/>
      <c r="D40" s="4"/>
      <c r="E40" s="4"/>
      <c r="F40" s="59"/>
      <c r="G40" s="4" t="s">
        <v>59</v>
      </c>
      <c r="H40" s="4"/>
      <c r="I40" s="4"/>
      <c r="J40" s="4"/>
      <c r="K40" s="39"/>
      <c r="L40" s="4"/>
      <c r="M40" s="39" t="s">
        <v>52</v>
      </c>
      <c r="N40" s="163">
        <f>Z27</f>
        <v>128.19</v>
      </c>
      <c r="O40" s="39" t="str">
        <f t="shared" si="40"/>
        <v/>
      </c>
      <c r="AU40" s="4"/>
      <c r="AW40" s="56">
        <f>BC27</f>
        <v>128.19</v>
      </c>
    </row>
    <row r="41" spans="3:59" ht="15">
      <c r="C41" s="4"/>
      <c r="D41" s="4"/>
      <c r="E41" s="4"/>
      <c r="F41" s="59"/>
      <c r="G41" s="4" t="s">
        <v>60</v>
      </c>
      <c r="H41" s="4"/>
      <c r="I41" s="4"/>
      <c r="J41" s="4"/>
      <c r="K41" s="39"/>
      <c r="L41" s="4"/>
      <c r="M41" s="39" t="s">
        <v>52</v>
      </c>
      <c r="N41" s="163">
        <f>AB27</f>
        <v>440</v>
      </c>
      <c r="O41" s="39" t="str">
        <f t="shared" si="40"/>
        <v/>
      </c>
      <c r="AU41" s="4"/>
      <c r="AW41" s="56">
        <f>BD27</f>
        <v>440</v>
      </c>
    </row>
    <row r="42" spans="3:59" ht="15">
      <c r="C42" s="4"/>
      <c r="D42" s="4"/>
      <c r="E42" s="4"/>
      <c r="F42" s="4"/>
      <c r="G42" s="4" t="s">
        <v>61</v>
      </c>
      <c r="H42" s="4"/>
      <c r="I42" s="4"/>
      <c r="J42" s="4"/>
      <c r="K42" s="39"/>
      <c r="L42" s="4"/>
      <c r="M42" s="4"/>
      <c r="N42" s="163">
        <f>AD27</f>
        <v>6.8</v>
      </c>
      <c r="O42" s="39" t="str">
        <f t="shared" si="40"/>
        <v/>
      </c>
      <c r="AU42" s="4"/>
      <c r="AW42" s="56">
        <f>BE27</f>
        <v>6.8</v>
      </c>
    </row>
    <row r="43" spans="3:59" ht="15">
      <c r="C43" s="4"/>
      <c r="D43" s="4"/>
      <c r="E43" s="4"/>
      <c r="F43" s="4"/>
      <c r="G43" s="4" t="s">
        <v>62</v>
      </c>
      <c r="H43" s="4"/>
      <c r="I43" s="4"/>
      <c r="J43" s="4"/>
      <c r="K43" s="39"/>
      <c r="L43" s="4"/>
      <c r="M43" s="39" t="s">
        <v>52</v>
      </c>
      <c r="N43" s="163">
        <f>AF27</f>
        <v>16.5</v>
      </c>
      <c r="O43" s="39" t="str">
        <f t="shared" si="40"/>
        <v/>
      </c>
      <c r="AU43" s="4"/>
      <c r="AW43" s="56">
        <f>BF27</f>
        <v>16.5</v>
      </c>
    </row>
    <row r="44" spans="3:59" ht="15">
      <c r="C44" s="4"/>
      <c r="D44" s="4"/>
      <c r="E44" s="4"/>
      <c r="F44" s="4"/>
      <c r="G44" s="4" t="s">
        <v>63</v>
      </c>
      <c r="H44" s="4"/>
      <c r="I44" s="4"/>
      <c r="J44" s="4"/>
      <c r="K44" s="39"/>
      <c r="L44" s="4"/>
      <c r="M44" s="4"/>
      <c r="N44" s="163">
        <f>L34-SUM(N35:N43)</f>
        <v>7235.38</v>
      </c>
      <c r="O44" s="39" t="str">
        <f t="shared" si="40"/>
        <v/>
      </c>
      <c r="AU44" s="4"/>
      <c r="AW44" s="56">
        <f>BG27</f>
        <v>7235.38</v>
      </c>
    </row>
    <row r="45" spans="3:59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AU45" s="4"/>
      <c r="AW45" s="4"/>
    </row>
    <row r="46" spans="3:59" ht="15">
      <c r="C46" s="4"/>
      <c r="D46" s="210" t="s">
        <v>71</v>
      </c>
      <c r="E46" s="209"/>
      <c r="F46" s="4" t="s">
        <v>67</v>
      </c>
      <c r="G46" s="4"/>
      <c r="H46" s="4"/>
      <c r="I46" s="4"/>
      <c r="J46" s="4"/>
      <c r="K46" s="39"/>
      <c r="L46" s="163">
        <f>SUM(N47:N50)</f>
        <v>1149.8900000000001</v>
      </c>
      <c r="M46" s="39" t="str">
        <f>IF(OR(L46="",L46=AU46),"","*")</f>
        <v/>
      </c>
      <c r="N46" s="4"/>
      <c r="O46" s="4"/>
      <c r="AU46" s="56">
        <f>SUM(AW47:AW50)</f>
        <v>1149.8900000000001</v>
      </c>
      <c r="AW46" s="4"/>
    </row>
    <row r="47" spans="3:59" ht="15">
      <c r="C47" s="4"/>
      <c r="D47" s="4"/>
      <c r="E47" s="4"/>
      <c r="F47" s="59"/>
      <c r="G47" s="4" t="s">
        <v>143</v>
      </c>
      <c r="H47" s="4"/>
      <c r="I47" s="4"/>
      <c r="J47" s="4"/>
      <c r="K47" s="39"/>
      <c r="L47" s="4"/>
      <c r="M47" s="39" t="s">
        <v>52</v>
      </c>
      <c r="N47" s="163">
        <f>AK27*0.062</f>
        <v>597.66999999999996</v>
      </c>
      <c r="O47" s="39" t="str">
        <f>IF(OR(N47="",N47=AW47),"","*")</f>
        <v/>
      </c>
      <c r="AU47" s="4"/>
      <c r="AW47" s="56">
        <f>BH27*BH15</f>
        <v>597.66999999999996</v>
      </c>
    </row>
    <row r="48" spans="3:59" ht="15">
      <c r="C48" s="4"/>
      <c r="D48" s="4"/>
      <c r="E48" s="4"/>
      <c r="F48" s="59"/>
      <c r="G48" s="4" t="s">
        <v>144</v>
      </c>
      <c r="H48" s="4"/>
      <c r="I48" s="4"/>
      <c r="J48" s="4"/>
      <c r="K48" s="39"/>
      <c r="L48" s="4"/>
      <c r="M48" s="39" t="s">
        <v>52</v>
      </c>
      <c r="N48" s="163">
        <f>AM27*0.0145</f>
        <v>139.78</v>
      </c>
      <c r="O48" s="39" t="str">
        <f>IF(OR(N48="",N48=AW48),"","*")</f>
        <v/>
      </c>
      <c r="AU48" s="4"/>
      <c r="AW48" s="56">
        <f>BI27*BI15</f>
        <v>139.78</v>
      </c>
    </row>
    <row r="49" spans="3:49" ht="15">
      <c r="C49" s="4"/>
      <c r="D49" s="4"/>
      <c r="E49" s="4"/>
      <c r="F49" s="59"/>
      <c r="G49" s="4" t="s">
        <v>68</v>
      </c>
      <c r="H49" s="4"/>
      <c r="I49" s="4"/>
      <c r="J49" s="4"/>
      <c r="K49" s="39"/>
      <c r="L49" s="4"/>
      <c r="M49" s="39" t="s">
        <v>52</v>
      </c>
      <c r="N49" s="163">
        <f>X32</f>
        <v>57.84</v>
      </c>
      <c r="O49" s="39" t="str">
        <f>IF(OR(N49="",N49=AW49),"","*")</f>
        <v/>
      </c>
      <c r="AU49" s="4"/>
      <c r="AW49" s="56">
        <f>BJ27*BJ15</f>
        <v>57.84</v>
      </c>
    </row>
    <row r="50" spans="3:49" ht="15">
      <c r="C50" s="4"/>
      <c r="D50" s="4"/>
      <c r="E50" s="4"/>
      <c r="F50" s="4"/>
      <c r="G50" s="4" t="s">
        <v>69</v>
      </c>
      <c r="H50" s="4"/>
      <c r="I50" s="4"/>
      <c r="J50" s="4"/>
      <c r="K50" s="39"/>
      <c r="L50" s="4"/>
      <c r="M50" s="4"/>
      <c r="N50" s="163">
        <f>X34</f>
        <v>354.6</v>
      </c>
      <c r="O50" s="39" t="str">
        <f>IF(OR(N50="",N50=AW50),"","*")</f>
        <v/>
      </c>
      <c r="AU50" s="4"/>
      <c r="AW50" s="56">
        <f>BK27*BK15</f>
        <v>354.6</v>
      </c>
    </row>
    <row r="51" spans="3:49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AU51" s="4"/>
      <c r="AW51" s="4"/>
    </row>
    <row r="52" spans="3:49" ht="15">
      <c r="C52" s="4"/>
      <c r="D52" s="210" t="s">
        <v>64</v>
      </c>
      <c r="E52" s="209"/>
      <c r="F52" s="4" t="s">
        <v>65</v>
      </c>
      <c r="G52" s="4"/>
      <c r="H52" s="4"/>
      <c r="I52" s="4"/>
      <c r="J52" s="4"/>
      <c r="K52" s="39"/>
      <c r="L52" s="163">
        <f>N44</f>
        <v>7235.38</v>
      </c>
      <c r="M52" s="39" t="str">
        <f>IF(OR(L52="",L52=AU52),"","*")</f>
        <v/>
      </c>
      <c r="N52" s="4"/>
      <c r="O52" s="4"/>
      <c r="AU52" s="56">
        <f>BG27</f>
        <v>7235.38</v>
      </c>
      <c r="AW52" s="4"/>
    </row>
    <row r="53" spans="3:49" ht="15">
      <c r="C53" s="4"/>
      <c r="D53" s="4"/>
      <c r="E53" s="4"/>
      <c r="F53" s="59"/>
      <c r="G53" s="4" t="s">
        <v>66</v>
      </c>
      <c r="H53" s="4"/>
      <c r="I53" s="4"/>
      <c r="J53" s="4"/>
      <c r="K53" s="39"/>
      <c r="L53" s="4"/>
      <c r="M53" s="39" t="s">
        <v>52</v>
      </c>
      <c r="N53" s="163">
        <f>L52</f>
        <v>7235.38</v>
      </c>
      <c r="O53" s="39" t="str">
        <f>IF(OR(N53="",N53=AW53),"","*")</f>
        <v/>
      </c>
      <c r="AU53" s="4"/>
      <c r="AW53" s="56">
        <f>BG27</f>
        <v>7235.38</v>
      </c>
    </row>
    <row r="54" spans="3:49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3:49">
      <c r="C55" s="1"/>
      <c r="D55" s="1" t="s">
        <v>152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3:49">
      <c r="C56" s="1"/>
      <c r="D56" s="1" t="s">
        <v>151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</sheetData>
  <sheetProtection password="F4C4" sheet="1" objects="1" scenarios="1"/>
  <mergeCells count="34">
    <mergeCell ref="AF16:AG16"/>
    <mergeCell ref="P15:R15"/>
    <mergeCell ref="AD15:AE15"/>
    <mergeCell ref="AD16:AE16"/>
    <mergeCell ref="AH13:AJ13"/>
    <mergeCell ref="AK13:AR13"/>
    <mergeCell ref="BH14:BK14"/>
    <mergeCell ref="P14:R14"/>
    <mergeCell ref="P13:AF13"/>
    <mergeCell ref="B1:K1"/>
    <mergeCell ref="A7:AR7"/>
    <mergeCell ref="A8:AJ8"/>
    <mergeCell ref="A9:AJ9"/>
    <mergeCell ref="A10:AR10"/>
    <mergeCell ref="D11:H11"/>
    <mergeCell ref="D13:D16"/>
    <mergeCell ref="G14:G16"/>
    <mergeCell ref="J14:J16"/>
    <mergeCell ref="K14:K16"/>
    <mergeCell ref="J13:M13"/>
    <mergeCell ref="E13:E16"/>
    <mergeCell ref="F13:I13"/>
    <mergeCell ref="C30:O30"/>
    <mergeCell ref="D32:E32"/>
    <mergeCell ref="G32:J32"/>
    <mergeCell ref="F14:F16"/>
    <mergeCell ref="A15:C15"/>
    <mergeCell ref="A16:C16"/>
    <mergeCell ref="D46:E46"/>
    <mergeCell ref="D52:E52"/>
    <mergeCell ref="G33:J33"/>
    <mergeCell ref="D34:E34"/>
    <mergeCell ref="D35:E35"/>
    <mergeCell ref="D39:E39"/>
  </mergeCells>
  <phoneticPr fontId="16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L57"/>
  <sheetViews>
    <sheetView showGridLines="0" zoomScaleNormal="100" workbookViewId="0">
      <selection activeCell="M44" sqref="M44"/>
    </sheetView>
  </sheetViews>
  <sheetFormatPr defaultRowHeight="12.5"/>
  <cols>
    <col min="1" max="1" width="1.81640625" customWidth="1"/>
    <col min="2" max="3" width="9.7265625" customWidth="1"/>
    <col min="4" max="4" width="2.7265625" customWidth="1"/>
    <col min="5" max="5" width="5.26953125" customWidth="1"/>
    <col min="6" max="7" width="5.453125" customWidth="1"/>
    <col min="9" max="9" width="10.7265625" customWidth="1"/>
    <col min="10" max="10" width="2.26953125" customWidth="1"/>
    <col min="11" max="11" width="5.453125" customWidth="1"/>
    <col min="13" max="13" width="10.7265625" customWidth="1"/>
    <col min="14" max="14" width="2.26953125" customWidth="1"/>
    <col min="15" max="15" width="10.7265625" customWidth="1"/>
    <col min="16" max="16" width="2.26953125" customWidth="1"/>
    <col min="17" max="17" width="9.26953125" customWidth="1"/>
    <col min="18" max="18" width="2.26953125" customWidth="1"/>
    <col min="20" max="20" width="2.26953125" customWidth="1"/>
    <col min="21" max="21" width="9.26953125" bestFit="1" customWidth="1"/>
    <col min="22" max="22" width="2.26953125" customWidth="1"/>
    <col min="24" max="24" width="2.26953125" customWidth="1"/>
    <col min="26" max="26" width="2.26953125" customWidth="1"/>
    <col min="28" max="28" width="2.26953125" customWidth="1"/>
    <col min="30" max="30" width="2.26953125" customWidth="1"/>
    <col min="31" max="31" width="9.26953125" customWidth="1"/>
    <col min="32" max="32" width="2.26953125" customWidth="1"/>
    <col min="34" max="34" width="2.26953125" customWidth="1"/>
    <col min="35" max="35" width="6.7265625" customWidth="1"/>
    <col min="36" max="36" width="10.7265625" customWidth="1"/>
    <col min="37" max="37" width="2.26953125" customWidth="1"/>
    <col min="38" max="38" width="9.90625" customWidth="1"/>
    <col min="39" max="39" width="2.26953125" customWidth="1"/>
    <col min="40" max="40" width="9.90625" customWidth="1"/>
    <col min="41" max="41" width="2.26953125" customWidth="1"/>
    <col min="42" max="42" width="9.90625" customWidth="1"/>
    <col min="43" max="43" width="2.26953125" customWidth="1"/>
    <col min="44" max="44" width="9.90625" customWidth="1"/>
    <col min="45" max="45" width="2.26953125" customWidth="1"/>
    <col min="46" max="46" width="10.7265625" hidden="1" customWidth="1"/>
    <col min="47" max="47" width="9.1796875" hidden="1" customWidth="1"/>
    <col min="48" max="51" width="10.7265625" hidden="1" customWidth="1"/>
    <col min="52" max="55" width="9.1796875" hidden="1" customWidth="1"/>
    <col min="56" max="56" width="10.7265625" hidden="1" customWidth="1"/>
    <col min="57" max="64" width="9.1796875" hidden="1" customWidth="1"/>
    <col min="65" max="65" width="8.7265625" customWidth="1"/>
  </cols>
  <sheetData>
    <row r="1" spans="2:64" ht="12.75" customHeight="1">
      <c r="B1" s="2" t="s">
        <v>17</v>
      </c>
      <c r="C1" s="215" t="s">
        <v>72</v>
      </c>
      <c r="D1" s="215"/>
      <c r="E1" s="215"/>
      <c r="F1" s="215"/>
      <c r="G1" s="215"/>
      <c r="H1" s="215"/>
      <c r="I1" s="215"/>
      <c r="J1" s="215"/>
      <c r="K1" s="215"/>
      <c r="L1" s="215"/>
    </row>
    <row r="2" spans="2:64" ht="12.75" customHeight="1"/>
    <row r="3" spans="2:64" ht="13">
      <c r="B3" s="75" t="s">
        <v>149</v>
      </c>
    </row>
    <row r="4" spans="2:64">
      <c r="B4" s="8" t="s">
        <v>19</v>
      </c>
      <c r="C4" s="8"/>
      <c r="D4" s="8"/>
    </row>
    <row r="5" spans="2:64" ht="13">
      <c r="B5" s="75" t="s">
        <v>73</v>
      </c>
      <c r="C5" s="75"/>
      <c r="D5" s="8"/>
    </row>
    <row r="7" spans="2:64" ht="13">
      <c r="B7" s="6" t="s">
        <v>74</v>
      </c>
      <c r="C7" s="6"/>
      <c r="D7" s="7"/>
    </row>
    <row r="8" spans="2:64" ht="13">
      <c r="B8" s="214" t="s">
        <v>41</v>
      </c>
      <c r="C8" s="214"/>
      <c r="D8" s="214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1"/>
    </row>
    <row r="9" spans="2:64" ht="12.5" customHeight="1">
      <c r="B9" s="244"/>
      <c r="C9" s="244"/>
      <c r="D9" s="244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4"/>
      <c r="AM9" s="4"/>
      <c r="AN9" s="4"/>
      <c r="AO9" s="4"/>
      <c r="AP9" s="4"/>
      <c r="AQ9" s="4"/>
      <c r="AR9" s="4"/>
      <c r="AS9" s="4"/>
      <c r="AT9" s="1"/>
    </row>
    <row r="10" spans="2:64" ht="12.75" customHeight="1">
      <c r="B10" s="244"/>
      <c r="C10" s="244"/>
      <c r="D10" s="244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4"/>
      <c r="AM10" s="4"/>
      <c r="AN10" s="4"/>
      <c r="AO10" s="4"/>
      <c r="AP10" s="4"/>
      <c r="AQ10" s="4"/>
      <c r="AR10" s="4"/>
      <c r="AS10" s="4"/>
      <c r="AT10" s="1"/>
    </row>
    <row r="11" spans="2:64" ht="13" customHeight="1">
      <c r="B11" s="245" t="s">
        <v>7</v>
      </c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1"/>
    </row>
    <row r="12" spans="2:64" ht="12.5" customHeight="1">
      <c r="B12" s="40" t="s">
        <v>18</v>
      </c>
      <c r="C12" s="40"/>
      <c r="D12" s="40"/>
      <c r="E12" s="239" t="s">
        <v>42</v>
      </c>
      <c r="F12" s="240"/>
      <c r="G12" s="240"/>
      <c r="H12" s="240"/>
      <c r="I12" s="240"/>
      <c r="J12" s="12"/>
      <c r="K12" s="12"/>
      <c r="L12" s="12"/>
      <c r="M12" s="12"/>
      <c r="N12" s="22"/>
      <c r="O12" s="12"/>
      <c r="P12" s="12"/>
      <c r="Q12" s="12"/>
      <c r="R12" s="12"/>
      <c r="S12" s="12"/>
      <c r="T12" s="12"/>
      <c r="U12" s="13"/>
      <c r="V12" s="13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4"/>
      <c r="AM12" s="4"/>
      <c r="AN12" s="4"/>
      <c r="AO12" s="4"/>
      <c r="AP12" s="4"/>
      <c r="AQ12" s="4"/>
      <c r="AR12" s="4"/>
      <c r="AS12" s="4"/>
      <c r="AT12" s="1"/>
    </row>
    <row r="13" spans="2:64" ht="13" thickBo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96"/>
    </row>
    <row r="14" spans="2:64" ht="13" customHeight="1" thickTop="1">
      <c r="B14" s="15"/>
      <c r="C14" s="16"/>
      <c r="D14" s="54"/>
      <c r="E14" s="237" t="s">
        <v>10</v>
      </c>
      <c r="F14" s="247" t="s">
        <v>11</v>
      </c>
      <c r="G14" s="216" t="s">
        <v>37</v>
      </c>
      <c r="H14" s="218"/>
      <c r="I14" s="218"/>
      <c r="J14" s="219"/>
      <c r="K14" s="216" t="s">
        <v>43</v>
      </c>
      <c r="L14" s="218"/>
      <c r="M14" s="218"/>
      <c r="N14" s="219"/>
      <c r="O14" s="49"/>
      <c r="P14" s="43"/>
      <c r="Q14" s="241" t="s">
        <v>6</v>
      </c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7"/>
      <c r="AI14" s="216" t="s">
        <v>48</v>
      </c>
      <c r="AJ14" s="242"/>
      <c r="AK14" s="243"/>
      <c r="AL14" s="216" t="s">
        <v>51</v>
      </c>
      <c r="AM14" s="217"/>
      <c r="AN14" s="217"/>
      <c r="AO14" s="217"/>
      <c r="AP14" s="217"/>
      <c r="AQ14" s="218"/>
      <c r="AR14" s="218"/>
      <c r="AS14" s="219"/>
      <c r="AT14" s="97"/>
      <c r="AY14" t="s">
        <v>0</v>
      </c>
      <c r="AZ14" t="s">
        <v>1</v>
      </c>
      <c r="BA14" t="s">
        <v>3</v>
      </c>
      <c r="BB14" t="s">
        <v>4</v>
      </c>
      <c r="BC14" t="s">
        <v>16</v>
      </c>
      <c r="BD14" t="s">
        <v>5</v>
      </c>
      <c r="BE14" t="s">
        <v>44</v>
      </c>
      <c r="BF14" t="s">
        <v>136</v>
      </c>
      <c r="BG14" t="s">
        <v>46</v>
      </c>
      <c r="BH14" t="s">
        <v>138</v>
      </c>
    </row>
    <row r="15" spans="2:64" ht="12.5" customHeight="1">
      <c r="B15" s="17"/>
      <c r="C15" s="10"/>
      <c r="D15" s="55"/>
      <c r="E15" s="238"/>
      <c r="F15" s="248"/>
      <c r="G15" s="220" t="s">
        <v>38</v>
      </c>
      <c r="H15" s="223" t="s">
        <v>39</v>
      </c>
      <c r="I15" s="9"/>
      <c r="J15" s="63"/>
      <c r="K15" s="220" t="s">
        <v>38</v>
      </c>
      <c r="L15" s="223" t="s">
        <v>39</v>
      </c>
      <c r="M15" s="9"/>
      <c r="N15" s="63"/>
      <c r="O15" s="41"/>
      <c r="P15" s="44"/>
      <c r="Q15" s="226"/>
      <c r="R15" s="226"/>
      <c r="S15" s="226"/>
      <c r="T15" s="32"/>
      <c r="U15" s="24"/>
      <c r="V15" s="28"/>
      <c r="W15" s="24"/>
      <c r="X15" s="28"/>
      <c r="Y15" s="33"/>
      <c r="Z15" s="33"/>
      <c r="AA15" s="24"/>
      <c r="AB15" s="28"/>
      <c r="AC15" s="24"/>
      <c r="AD15" s="28"/>
      <c r="AE15" s="33"/>
      <c r="AF15" s="33"/>
      <c r="AG15" s="24"/>
      <c r="AH15" s="28"/>
      <c r="AI15" s="87"/>
      <c r="AJ15" s="11"/>
      <c r="AK15" s="23"/>
      <c r="AL15" s="24"/>
      <c r="AM15" s="28"/>
      <c r="AN15" s="24"/>
      <c r="AO15" s="28"/>
      <c r="AP15" s="24"/>
      <c r="AQ15" s="28"/>
      <c r="AR15" s="24"/>
      <c r="AS15" s="28"/>
      <c r="AT15" s="98"/>
      <c r="AY15">
        <v>6.2E-2</v>
      </c>
      <c r="AZ15">
        <v>1.4500000000000001E-2</v>
      </c>
      <c r="BB15">
        <v>3.0700000000000002E-2</v>
      </c>
      <c r="BC15">
        <v>6.9999999999999999E-4</v>
      </c>
      <c r="BD15">
        <v>0.03</v>
      </c>
      <c r="BF15" t="s">
        <v>137</v>
      </c>
      <c r="BG15" t="s">
        <v>137</v>
      </c>
      <c r="BH15" t="s">
        <v>139</v>
      </c>
      <c r="BI15" t="s">
        <v>0</v>
      </c>
      <c r="BJ15" t="s">
        <v>1</v>
      </c>
      <c r="BK15" t="s">
        <v>15</v>
      </c>
      <c r="BL15" t="s">
        <v>16</v>
      </c>
    </row>
    <row r="16" spans="2:64">
      <c r="B16" s="229"/>
      <c r="C16" s="230"/>
      <c r="D16" s="231"/>
      <c r="E16" s="238"/>
      <c r="F16" s="248"/>
      <c r="G16" s="221"/>
      <c r="H16" s="224"/>
      <c r="I16" s="11"/>
      <c r="J16" s="23"/>
      <c r="K16" s="221"/>
      <c r="L16" s="224"/>
      <c r="M16" s="11"/>
      <c r="N16" s="23"/>
      <c r="O16" s="42" t="s">
        <v>12</v>
      </c>
      <c r="P16" s="45"/>
      <c r="Q16" s="232" t="s">
        <v>2</v>
      </c>
      <c r="R16" s="232"/>
      <c r="S16" s="232"/>
      <c r="T16" s="33"/>
      <c r="U16" s="24"/>
      <c r="V16" s="29"/>
      <c r="W16" s="24"/>
      <c r="X16" s="29"/>
      <c r="Y16" s="33"/>
      <c r="Z16" s="33"/>
      <c r="AA16" s="24"/>
      <c r="AB16" s="29"/>
      <c r="AC16" s="24"/>
      <c r="AD16" s="29"/>
      <c r="AE16" s="233" t="s">
        <v>47</v>
      </c>
      <c r="AF16" s="234"/>
      <c r="AG16" s="86" t="s">
        <v>46</v>
      </c>
      <c r="AH16" s="29"/>
      <c r="AI16" s="88" t="s">
        <v>49</v>
      </c>
      <c r="AJ16" s="11"/>
      <c r="AK16" s="23"/>
      <c r="AL16" s="24"/>
      <c r="AM16" s="29"/>
      <c r="AN16" s="24"/>
      <c r="AO16" s="29"/>
      <c r="AP16" s="24"/>
      <c r="AQ16" s="29"/>
      <c r="AR16" s="24"/>
      <c r="AS16" s="29"/>
      <c r="AT16" s="98"/>
      <c r="AU16" t="s">
        <v>87</v>
      </c>
      <c r="AV16" t="s">
        <v>140</v>
      </c>
      <c r="AX16" t="s">
        <v>141</v>
      </c>
      <c r="BI16">
        <v>6.2E-2</v>
      </c>
      <c r="BJ16">
        <v>1.4500000000000001E-2</v>
      </c>
      <c r="BK16">
        <v>6.0000000000000001E-3</v>
      </c>
      <c r="BL16">
        <v>3.6784999999999998E-2</v>
      </c>
    </row>
    <row r="17" spans="2:64" ht="16.5" customHeight="1">
      <c r="B17" s="235" t="s">
        <v>26</v>
      </c>
      <c r="C17" s="232"/>
      <c r="D17" s="236"/>
      <c r="E17" s="238"/>
      <c r="F17" s="248"/>
      <c r="G17" s="222"/>
      <c r="H17" s="225"/>
      <c r="I17" s="72" t="s">
        <v>40</v>
      </c>
      <c r="J17" s="64"/>
      <c r="K17" s="222"/>
      <c r="L17" s="225"/>
      <c r="M17" s="72" t="s">
        <v>40</v>
      </c>
      <c r="N17" s="64"/>
      <c r="O17" s="93" t="s">
        <v>13</v>
      </c>
      <c r="P17" s="46"/>
      <c r="Q17" s="81" t="s">
        <v>0</v>
      </c>
      <c r="R17" s="82"/>
      <c r="S17" s="83" t="s">
        <v>1</v>
      </c>
      <c r="T17" s="34"/>
      <c r="U17" s="85" t="s">
        <v>3</v>
      </c>
      <c r="V17" s="31"/>
      <c r="W17" s="72" t="s">
        <v>4</v>
      </c>
      <c r="X17" s="29"/>
      <c r="Y17" s="72" t="s">
        <v>16</v>
      </c>
      <c r="Z17" s="30"/>
      <c r="AA17" s="85" t="s">
        <v>5</v>
      </c>
      <c r="AB17" s="29"/>
      <c r="AC17" s="85" t="s">
        <v>44</v>
      </c>
      <c r="AD17" s="29"/>
      <c r="AE17" s="227" t="s">
        <v>45</v>
      </c>
      <c r="AF17" s="228"/>
      <c r="AG17" s="227" t="s">
        <v>45</v>
      </c>
      <c r="AH17" s="228"/>
      <c r="AI17" s="89" t="s">
        <v>50</v>
      </c>
      <c r="AJ17" s="84" t="s">
        <v>40</v>
      </c>
      <c r="AK17" s="21"/>
      <c r="AL17" s="85" t="s">
        <v>0</v>
      </c>
      <c r="AM17" s="29"/>
      <c r="AN17" s="85" t="s">
        <v>1</v>
      </c>
      <c r="AO17" s="29"/>
      <c r="AP17" s="85" t="s">
        <v>15</v>
      </c>
      <c r="AQ17" s="29"/>
      <c r="AR17" s="85" t="s">
        <v>16</v>
      </c>
      <c r="AS17" s="29"/>
      <c r="AT17" s="98"/>
      <c r="AU17" t="s">
        <v>102</v>
      </c>
      <c r="AV17" t="s">
        <v>102</v>
      </c>
      <c r="AX17" t="s">
        <v>142</v>
      </c>
    </row>
    <row r="18" spans="2:64" ht="15">
      <c r="B18" s="60" t="s">
        <v>27</v>
      </c>
      <c r="C18" s="102"/>
      <c r="D18" s="20"/>
      <c r="E18" s="193" t="s">
        <v>9</v>
      </c>
      <c r="F18" s="193">
        <v>1</v>
      </c>
      <c r="G18" s="176">
        <v>40</v>
      </c>
      <c r="H18" s="177">
        <v>17.5</v>
      </c>
      <c r="I18" s="73">
        <f>G18*H18</f>
        <v>700</v>
      </c>
      <c r="J18" s="35" t="str">
        <f t="shared" ref="J18:J28" si="0">IF(OR(I18="",I18=AU18),"","*")</f>
        <v/>
      </c>
      <c r="K18" s="77"/>
      <c r="L18" s="80"/>
      <c r="M18" s="66">
        <f t="shared" ref="M18:M23" si="1">K18*L18</f>
        <v>0</v>
      </c>
      <c r="N18" s="35" t="str">
        <f t="shared" ref="N18:N28" si="2">IF(OR(M18="",M18=AV18),"","*")</f>
        <v/>
      </c>
      <c r="O18" s="52">
        <f t="shared" ref="O18:O27" si="3">I18+M18</f>
        <v>700</v>
      </c>
      <c r="P18" s="35" t="str">
        <f t="shared" ref="P18:P28" si="4">IF(OR(O18="",O18=AX18),"","*")</f>
        <v/>
      </c>
      <c r="Q18" s="26">
        <f>O18*0.062</f>
        <v>43.4</v>
      </c>
      <c r="R18" s="35" t="str">
        <f t="shared" ref="R18:R28" si="5">IF(OR(Q18="",Q18=AY18),"","*")</f>
        <v/>
      </c>
      <c r="S18" s="25">
        <f>O18*0.0145</f>
        <v>10.15</v>
      </c>
      <c r="T18" s="35" t="str">
        <f t="shared" ref="T18:T28" si="6">IF(OR(S18="",S18=AZ18),"","*")</f>
        <v/>
      </c>
      <c r="U18" s="52">
        <v>76</v>
      </c>
      <c r="V18" s="35" t="str">
        <f t="shared" ref="V18:V28" si="7">IF(OR(U18="",U18=BA18),"","*")</f>
        <v/>
      </c>
      <c r="W18" s="25">
        <f>O18*0.0307</f>
        <v>21.49</v>
      </c>
      <c r="X18" s="35" t="str">
        <f t="shared" ref="X18:X28" si="8">IF(OR(W18="",W18=BB18),"","*")</f>
        <v/>
      </c>
      <c r="Y18" s="25">
        <f>O18*0.0007</f>
        <v>0.49</v>
      </c>
      <c r="Z18" s="35" t="str">
        <f t="shared" ref="Z18:Z28" si="9">IF(OR(Y18="",Y18=BC18),"","*")</f>
        <v/>
      </c>
      <c r="AA18" s="25">
        <f t="shared" ref="AA18:AA27" si="10">O18*0.03</f>
        <v>21</v>
      </c>
      <c r="AB18" s="35" t="str">
        <f t="shared" ref="AB18:AB28" si="11">IF(OR(AA18="",AA18=BD18),"","*")</f>
        <v/>
      </c>
      <c r="AC18" s="25">
        <v>20</v>
      </c>
      <c r="AD18" s="35" t="str">
        <f t="shared" ref="AD18:AD28" si="12">IF(OR(AC18="",AC18=BE18),"","*")</f>
        <v/>
      </c>
      <c r="AE18" s="25">
        <v>0.85</v>
      </c>
      <c r="AF18" s="35" t="str">
        <f t="shared" ref="AF18:AF28" si="13">IF(OR(AE18="",AE18=BF18),"","*")</f>
        <v/>
      </c>
      <c r="AG18" s="25">
        <v>1.65</v>
      </c>
      <c r="AH18" s="35" t="str">
        <f t="shared" ref="AH18:AH28" si="14">IF(OR(AG18="",AG18=BG18),"","*")</f>
        <v/>
      </c>
      <c r="AI18" s="104">
        <v>313</v>
      </c>
      <c r="AJ18" s="3">
        <f t="shared" ref="AJ18:AJ27" si="15">O18-SUM(Q18:AG18)</f>
        <v>504.97</v>
      </c>
      <c r="AK18" s="35" t="str">
        <f t="shared" ref="AK18:AK28" si="16">IF(OR(AJ18="",AJ18=BH18),"","*")</f>
        <v/>
      </c>
      <c r="AL18" s="25">
        <f>O18</f>
        <v>700</v>
      </c>
      <c r="AM18" s="35" t="str">
        <f t="shared" ref="AM18:AM28" si="17">IF(OR(AL18="",AL18=BI18),"","*")</f>
        <v/>
      </c>
      <c r="AN18" s="25">
        <f>O18</f>
        <v>700</v>
      </c>
      <c r="AO18" s="35" t="str">
        <f t="shared" ref="AO18:AO28" si="18">IF(OR(AN18="",AN18=BJ18),"","*")</f>
        <v/>
      </c>
      <c r="AP18" s="25">
        <f>O18</f>
        <v>700</v>
      </c>
      <c r="AQ18" s="35" t="str">
        <f t="shared" ref="AQ18:AQ28" si="19">IF(OR(AP18="",AP18=BK18),"","*")</f>
        <v/>
      </c>
      <c r="AR18" s="25">
        <f>O18</f>
        <v>700</v>
      </c>
      <c r="AS18" s="35" t="str">
        <f t="shared" ref="AS18:AS28" si="20">IF(OR(AR18="",AR18=BL18),"","*")</f>
        <v/>
      </c>
      <c r="AT18" s="99"/>
      <c r="AU18" s="205">
        <f>17.5*40</f>
        <v>700</v>
      </c>
      <c r="AV18" s="205"/>
      <c r="AW18" s="205"/>
      <c r="AX18" s="205">
        <f>AU18</f>
        <v>700</v>
      </c>
      <c r="AY18" s="26">
        <f>AX18*$AY$15</f>
        <v>43.4</v>
      </c>
      <c r="AZ18" s="25">
        <f>AX18*$AZ$15</f>
        <v>10.15</v>
      </c>
      <c r="BA18" s="52">
        <v>76</v>
      </c>
      <c r="BB18" s="25">
        <f>AX18*$BB$15</f>
        <v>21.49</v>
      </c>
      <c r="BC18" s="25">
        <f>AX18*$BC$15</f>
        <v>0.49</v>
      </c>
      <c r="BD18" s="25">
        <f>AX18*$BD$15</f>
        <v>21</v>
      </c>
      <c r="BE18" s="25">
        <v>20</v>
      </c>
      <c r="BF18" s="25">
        <v>0.85</v>
      </c>
      <c r="BG18" s="25">
        <v>1.65</v>
      </c>
      <c r="BH18" s="3">
        <f t="shared" ref="BH18:BH27" si="21">AX18-SUM(AY18:BG18)</f>
        <v>504.97</v>
      </c>
      <c r="BI18" s="25">
        <f>AX18</f>
        <v>700</v>
      </c>
      <c r="BJ18" s="25">
        <f>AX18</f>
        <v>700</v>
      </c>
      <c r="BK18" s="25">
        <f>AX18</f>
        <v>700</v>
      </c>
      <c r="BL18" s="25">
        <f>AX18</f>
        <v>700</v>
      </c>
    </row>
    <row r="19" spans="2:64" ht="15">
      <c r="B19" s="18" t="s">
        <v>28</v>
      </c>
      <c r="C19" s="103"/>
      <c r="D19" s="20"/>
      <c r="E19" s="193" t="s">
        <v>9</v>
      </c>
      <c r="F19" s="193">
        <v>0</v>
      </c>
      <c r="G19" s="176">
        <v>40</v>
      </c>
      <c r="H19" s="177">
        <v>17.25</v>
      </c>
      <c r="I19" s="67">
        <f>G19*H19</f>
        <v>690</v>
      </c>
      <c r="J19" s="35" t="str">
        <f t="shared" si="0"/>
        <v/>
      </c>
      <c r="K19" s="78">
        <v>8</v>
      </c>
      <c r="L19" s="94">
        <f>ROUND(H19*1.5,2)</f>
        <v>25.88</v>
      </c>
      <c r="M19" s="68">
        <f t="shared" si="1"/>
        <v>207.04</v>
      </c>
      <c r="N19" s="35" t="str">
        <f t="shared" si="2"/>
        <v/>
      </c>
      <c r="O19" s="53">
        <f t="shared" si="3"/>
        <v>897.04</v>
      </c>
      <c r="P19" s="36" t="str">
        <f t="shared" si="4"/>
        <v/>
      </c>
      <c r="Q19" s="26">
        <f t="shared" ref="Q19:Q27" si="22">O19*0.062</f>
        <v>55.62</v>
      </c>
      <c r="R19" s="36" t="str">
        <f t="shared" si="5"/>
        <v/>
      </c>
      <c r="S19" s="26">
        <f t="shared" ref="S19:S27" si="23">O19*0.0145</f>
        <v>13.01</v>
      </c>
      <c r="T19" s="36" t="str">
        <f t="shared" si="6"/>
        <v/>
      </c>
      <c r="U19" s="53">
        <v>119</v>
      </c>
      <c r="V19" s="36" t="str">
        <f t="shared" si="7"/>
        <v/>
      </c>
      <c r="W19" s="26">
        <f t="shared" ref="W19:W27" si="24">O19*0.0307</f>
        <v>27.54</v>
      </c>
      <c r="X19" s="36" t="str">
        <f t="shared" si="8"/>
        <v/>
      </c>
      <c r="Y19" s="25">
        <f t="shared" ref="Y19:Y27" si="25">O19*0.0007</f>
        <v>0.63</v>
      </c>
      <c r="Z19" s="36" t="str">
        <f t="shared" si="9"/>
        <v/>
      </c>
      <c r="AA19" s="26">
        <f t="shared" si="10"/>
        <v>26.91</v>
      </c>
      <c r="AB19" s="36" t="str">
        <f t="shared" si="11"/>
        <v/>
      </c>
      <c r="AC19" s="26">
        <v>50</v>
      </c>
      <c r="AD19" s="36" t="str">
        <f t="shared" si="12"/>
        <v/>
      </c>
      <c r="AE19" s="26">
        <v>0.85</v>
      </c>
      <c r="AF19" s="36" t="str">
        <f t="shared" si="13"/>
        <v/>
      </c>
      <c r="AG19" s="26">
        <v>1.65</v>
      </c>
      <c r="AH19" s="36" t="str">
        <f t="shared" si="14"/>
        <v/>
      </c>
      <c r="AI19" s="90">
        <v>314</v>
      </c>
      <c r="AJ19" s="92">
        <f t="shared" si="15"/>
        <v>601.83000000000004</v>
      </c>
      <c r="AK19" s="36" t="str">
        <f t="shared" si="16"/>
        <v/>
      </c>
      <c r="AL19" s="26">
        <f t="shared" ref="AL19:AL27" si="26">O19</f>
        <v>897.04</v>
      </c>
      <c r="AM19" s="36" t="str">
        <f t="shared" si="17"/>
        <v/>
      </c>
      <c r="AN19" s="26">
        <f t="shared" ref="AN19:AN27" si="27">O19</f>
        <v>897.04</v>
      </c>
      <c r="AO19" s="36" t="str">
        <f t="shared" si="18"/>
        <v/>
      </c>
      <c r="AP19" s="26">
        <f t="shared" ref="AP19:AP27" si="28">O19</f>
        <v>897.04</v>
      </c>
      <c r="AQ19" s="36" t="str">
        <f t="shared" si="19"/>
        <v/>
      </c>
      <c r="AR19" s="26">
        <f t="shared" ref="AR19:AR27" si="29">O19</f>
        <v>897.04</v>
      </c>
      <c r="AS19" s="36" t="str">
        <f t="shared" si="20"/>
        <v/>
      </c>
      <c r="AT19" s="99"/>
      <c r="AU19" s="205">
        <f>17.25*40</f>
        <v>690</v>
      </c>
      <c r="AV19" s="205">
        <f>ROUND(17.25*1.5,2)*8</f>
        <v>207.04</v>
      </c>
      <c r="AW19" s="205"/>
      <c r="AX19" s="205">
        <f t="shared" ref="AX19:AX27" si="30">AU19+AV19</f>
        <v>897.04</v>
      </c>
      <c r="AY19" s="26">
        <f t="shared" ref="AY19:AY27" si="31">AX19*$AY$15</f>
        <v>55.62</v>
      </c>
      <c r="AZ19" s="26">
        <f t="shared" ref="AZ19:AZ27" si="32">AX19*$AZ$15</f>
        <v>13.01</v>
      </c>
      <c r="BA19" s="53">
        <v>119</v>
      </c>
      <c r="BB19" s="25">
        <f t="shared" ref="BB19:BB27" si="33">AX19*$BB$15</f>
        <v>27.54</v>
      </c>
      <c r="BC19" s="25">
        <f t="shared" ref="BC19:BC27" si="34">AX19*$BC$15</f>
        <v>0.63</v>
      </c>
      <c r="BD19" s="25">
        <f t="shared" ref="BD19:BD27" si="35">AX19*$BD$15</f>
        <v>26.91</v>
      </c>
      <c r="BE19" s="26">
        <v>50</v>
      </c>
      <c r="BF19" s="26">
        <v>0.85</v>
      </c>
      <c r="BG19" s="26">
        <v>1.65</v>
      </c>
      <c r="BH19" s="3">
        <f t="shared" si="21"/>
        <v>601.83000000000004</v>
      </c>
      <c r="BI19" s="26">
        <f t="shared" ref="BI19:BI27" si="36">AX19</f>
        <v>897.04</v>
      </c>
      <c r="BJ19" s="26">
        <f t="shared" ref="BJ19:BJ27" si="37">AX19</f>
        <v>897.04</v>
      </c>
      <c r="BK19" s="26">
        <f t="shared" ref="BK19:BK27" si="38">AX19</f>
        <v>897.04</v>
      </c>
      <c r="BL19" s="26">
        <f t="shared" ref="BL19:BL27" si="39">AX19</f>
        <v>897.04</v>
      </c>
    </row>
    <row r="20" spans="2:64" ht="15">
      <c r="B20" s="18" t="s">
        <v>29</v>
      </c>
      <c r="C20" s="103"/>
      <c r="D20" s="20"/>
      <c r="E20" s="193" t="s">
        <v>8</v>
      </c>
      <c r="F20" s="193">
        <v>2</v>
      </c>
      <c r="G20" s="176">
        <v>37.5</v>
      </c>
      <c r="H20" s="177">
        <v>18.100000000000001</v>
      </c>
      <c r="I20" s="67">
        <f>G20*H20</f>
        <v>678.75</v>
      </c>
      <c r="J20" s="35" t="str">
        <f t="shared" si="0"/>
        <v/>
      </c>
      <c r="K20" s="78"/>
      <c r="L20" s="94"/>
      <c r="M20" s="67">
        <f t="shared" si="1"/>
        <v>0</v>
      </c>
      <c r="N20" s="35" t="str">
        <f t="shared" si="2"/>
        <v/>
      </c>
      <c r="O20" s="53">
        <f t="shared" si="3"/>
        <v>678.75</v>
      </c>
      <c r="P20" s="36" t="str">
        <f t="shared" si="4"/>
        <v/>
      </c>
      <c r="Q20" s="26">
        <f t="shared" si="22"/>
        <v>42.08</v>
      </c>
      <c r="R20" s="36" t="str">
        <f t="shared" si="5"/>
        <v/>
      </c>
      <c r="S20" s="26">
        <f t="shared" si="23"/>
        <v>9.84</v>
      </c>
      <c r="T20" s="36" t="str">
        <f t="shared" si="6"/>
        <v/>
      </c>
      <c r="U20" s="53">
        <v>32</v>
      </c>
      <c r="V20" s="36" t="str">
        <f t="shared" si="7"/>
        <v/>
      </c>
      <c r="W20" s="26">
        <f t="shared" si="24"/>
        <v>20.84</v>
      </c>
      <c r="X20" s="36" t="str">
        <f t="shared" si="8"/>
        <v/>
      </c>
      <c r="Y20" s="25">
        <f t="shared" si="25"/>
        <v>0.48</v>
      </c>
      <c r="Z20" s="36" t="str">
        <f t="shared" si="9"/>
        <v/>
      </c>
      <c r="AA20" s="26">
        <f t="shared" si="10"/>
        <v>20.36</v>
      </c>
      <c r="AB20" s="36" t="str">
        <f t="shared" si="11"/>
        <v/>
      </c>
      <c r="AC20" s="26">
        <v>40</v>
      </c>
      <c r="AD20" s="36" t="str">
        <f t="shared" si="12"/>
        <v/>
      </c>
      <c r="AE20" s="26">
        <v>0.85</v>
      </c>
      <c r="AF20" s="36" t="str">
        <f t="shared" si="13"/>
        <v/>
      </c>
      <c r="AG20" s="26">
        <v>1.65</v>
      </c>
      <c r="AH20" s="36" t="str">
        <f t="shared" si="14"/>
        <v/>
      </c>
      <c r="AI20" s="90">
        <v>315</v>
      </c>
      <c r="AJ20" s="92">
        <f t="shared" si="15"/>
        <v>510.65</v>
      </c>
      <c r="AK20" s="36" t="str">
        <f t="shared" si="16"/>
        <v/>
      </c>
      <c r="AL20" s="26">
        <f t="shared" si="26"/>
        <v>678.75</v>
      </c>
      <c r="AM20" s="36" t="str">
        <f t="shared" si="17"/>
        <v/>
      </c>
      <c r="AN20" s="26">
        <f t="shared" si="27"/>
        <v>678.75</v>
      </c>
      <c r="AO20" s="36" t="str">
        <f t="shared" si="18"/>
        <v/>
      </c>
      <c r="AP20" s="26">
        <f t="shared" si="28"/>
        <v>678.75</v>
      </c>
      <c r="AQ20" s="36" t="str">
        <f t="shared" si="19"/>
        <v/>
      </c>
      <c r="AR20" s="26">
        <f t="shared" si="29"/>
        <v>678.75</v>
      </c>
      <c r="AS20" s="36" t="str">
        <f t="shared" si="20"/>
        <v/>
      </c>
      <c r="AT20" s="99"/>
      <c r="AU20" s="205">
        <f>18.1*37.5</f>
        <v>678.75</v>
      </c>
      <c r="AV20" s="205"/>
      <c r="AW20" s="205"/>
      <c r="AX20" s="205">
        <f t="shared" si="30"/>
        <v>678.75</v>
      </c>
      <c r="AY20" s="26">
        <f t="shared" si="31"/>
        <v>42.08</v>
      </c>
      <c r="AZ20" s="26">
        <f t="shared" si="32"/>
        <v>9.84</v>
      </c>
      <c r="BA20" s="53">
        <v>32</v>
      </c>
      <c r="BB20" s="25">
        <f t="shared" si="33"/>
        <v>20.84</v>
      </c>
      <c r="BC20" s="25">
        <f t="shared" si="34"/>
        <v>0.48</v>
      </c>
      <c r="BD20" s="25">
        <f t="shared" si="35"/>
        <v>20.36</v>
      </c>
      <c r="BE20" s="26">
        <v>40</v>
      </c>
      <c r="BF20" s="26">
        <v>0.85</v>
      </c>
      <c r="BG20" s="26">
        <v>1.65</v>
      </c>
      <c r="BH20" s="3">
        <f t="shared" si="21"/>
        <v>510.65</v>
      </c>
      <c r="BI20" s="26">
        <f t="shared" si="36"/>
        <v>678.75</v>
      </c>
      <c r="BJ20" s="26">
        <f t="shared" si="37"/>
        <v>678.75</v>
      </c>
      <c r="BK20" s="26">
        <f t="shared" si="38"/>
        <v>678.75</v>
      </c>
      <c r="BL20" s="26">
        <f t="shared" si="39"/>
        <v>678.75</v>
      </c>
    </row>
    <row r="21" spans="2:64" ht="15">
      <c r="B21" s="18" t="s">
        <v>30</v>
      </c>
      <c r="C21" s="103"/>
      <c r="D21" s="20"/>
      <c r="E21" s="193" t="s">
        <v>8</v>
      </c>
      <c r="F21" s="193">
        <v>4</v>
      </c>
      <c r="G21" s="176">
        <v>40</v>
      </c>
      <c r="H21" s="177">
        <v>17.899999999999999</v>
      </c>
      <c r="I21" s="74">
        <f>G21*H21</f>
        <v>716</v>
      </c>
      <c r="J21" s="35" t="str">
        <f t="shared" si="0"/>
        <v/>
      </c>
      <c r="K21" s="78">
        <v>6</v>
      </c>
      <c r="L21" s="94">
        <f>ROUND(H21*1.5,2)</f>
        <v>26.85</v>
      </c>
      <c r="M21" s="74">
        <f t="shared" si="1"/>
        <v>161.1</v>
      </c>
      <c r="N21" s="35" t="str">
        <f t="shared" si="2"/>
        <v/>
      </c>
      <c r="O21" s="53">
        <f t="shared" si="3"/>
        <v>877.1</v>
      </c>
      <c r="P21" s="36" t="str">
        <f t="shared" si="4"/>
        <v/>
      </c>
      <c r="Q21" s="26">
        <f t="shared" si="22"/>
        <v>54.38</v>
      </c>
      <c r="R21" s="36" t="str">
        <f t="shared" si="5"/>
        <v/>
      </c>
      <c r="S21" s="26">
        <f t="shared" si="23"/>
        <v>12.72</v>
      </c>
      <c r="T21" s="36" t="str">
        <f t="shared" si="6"/>
        <v/>
      </c>
      <c r="U21" s="53">
        <v>35</v>
      </c>
      <c r="V21" s="36" t="str">
        <f t="shared" si="7"/>
        <v/>
      </c>
      <c r="W21" s="26">
        <f t="shared" si="24"/>
        <v>26.93</v>
      </c>
      <c r="X21" s="36" t="str">
        <f t="shared" si="8"/>
        <v/>
      </c>
      <c r="Y21" s="25">
        <f t="shared" si="25"/>
        <v>0.61</v>
      </c>
      <c r="Z21" s="36" t="str">
        <f t="shared" si="9"/>
        <v/>
      </c>
      <c r="AA21" s="26">
        <f t="shared" si="10"/>
        <v>26.31</v>
      </c>
      <c r="AB21" s="36" t="str">
        <f t="shared" si="11"/>
        <v/>
      </c>
      <c r="AC21" s="26">
        <v>50</v>
      </c>
      <c r="AD21" s="36" t="str">
        <f t="shared" si="12"/>
        <v/>
      </c>
      <c r="AE21" s="26">
        <v>0.85</v>
      </c>
      <c r="AF21" s="36" t="str">
        <f t="shared" si="13"/>
        <v/>
      </c>
      <c r="AG21" s="26">
        <v>1.65</v>
      </c>
      <c r="AH21" s="36" t="str">
        <f t="shared" si="14"/>
        <v/>
      </c>
      <c r="AI21" s="90">
        <v>316</v>
      </c>
      <c r="AJ21" s="92">
        <f t="shared" si="15"/>
        <v>668.65</v>
      </c>
      <c r="AK21" s="36" t="str">
        <f t="shared" si="16"/>
        <v/>
      </c>
      <c r="AL21" s="26">
        <f t="shared" si="26"/>
        <v>877.1</v>
      </c>
      <c r="AM21" s="36" t="str">
        <f t="shared" si="17"/>
        <v/>
      </c>
      <c r="AN21" s="26">
        <f t="shared" si="27"/>
        <v>877.1</v>
      </c>
      <c r="AO21" s="36" t="str">
        <f t="shared" si="18"/>
        <v/>
      </c>
      <c r="AP21" s="26">
        <f t="shared" si="28"/>
        <v>877.1</v>
      </c>
      <c r="AQ21" s="36" t="str">
        <f t="shared" si="19"/>
        <v/>
      </c>
      <c r="AR21" s="26">
        <f t="shared" si="29"/>
        <v>877.1</v>
      </c>
      <c r="AS21" s="36" t="str">
        <f t="shared" si="20"/>
        <v/>
      </c>
      <c r="AT21" s="99"/>
      <c r="AU21" s="205">
        <f>17.9*40</f>
        <v>716</v>
      </c>
      <c r="AV21" s="205">
        <f>ROUND(17.9*1.5,2)*6</f>
        <v>161.1</v>
      </c>
      <c r="AW21" s="205"/>
      <c r="AX21" s="205">
        <f t="shared" si="30"/>
        <v>877.1</v>
      </c>
      <c r="AY21" s="26">
        <f t="shared" si="31"/>
        <v>54.38</v>
      </c>
      <c r="AZ21" s="26">
        <f t="shared" si="32"/>
        <v>12.72</v>
      </c>
      <c r="BA21" s="53">
        <v>35</v>
      </c>
      <c r="BB21" s="25">
        <f t="shared" si="33"/>
        <v>26.93</v>
      </c>
      <c r="BC21" s="25">
        <f t="shared" si="34"/>
        <v>0.61</v>
      </c>
      <c r="BD21" s="25">
        <f t="shared" si="35"/>
        <v>26.31</v>
      </c>
      <c r="BE21" s="26">
        <v>50</v>
      </c>
      <c r="BF21" s="26">
        <v>0.85</v>
      </c>
      <c r="BG21" s="26">
        <v>1.65</v>
      </c>
      <c r="BH21" s="3">
        <f t="shared" si="21"/>
        <v>668.65</v>
      </c>
      <c r="BI21" s="26">
        <f t="shared" si="36"/>
        <v>877.1</v>
      </c>
      <c r="BJ21" s="26">
        <f t="shared" si="37"/>
        <v>877.1</v>
      </c>
      <c r="BK21" s="26">
        <f t="shared" si="38"/>
        <v>877.1</v>
      </c>
      <c r="BL21" s="26">
        <f t="shared" si="39"/>
        <v>877.1</v>
      </c>
    </row>
    <row r="22" spans="2:64" ht="15">
      <c r="B22" s="18" t="s">
        <v>31</v>
      </c>
      <c r="C22" s="103"/>
      <c r="D22" s="20"/>
      <c r="E22" s="193" t="s">
        <v>9</v>
      </c>
      <c r="F22" s="193">
        <v>2</v>
      </c>
      <c r="G22" s="176">
        <v>40</v>
      </c>
      <c r="H22" s="177">
        <v>19.75</v>
      </c>
      <c r="I22" s="74">
        <f>G22*H22</f>
        <v>790</v>
      </c>
      <c r="J22" s="35" t="str">
        <f t="shared" si="0"/>
        <v/>
      </c>
      <c r="K22" s="78"/>
      <c r="L22" s="94"/>
      <c r="M22" s="74">
        <f t="shared" si="1"/>
        <v>0</v>
      </c>
      <c r="N22" s="35" t="str">
        <f t="shared" si="2"/>
        <v/>
      </c>
      <c r="O22" s="53">
        <f t="shared" si="3"/>
        <v>790</v>
      </c>
      <c r="P22" s="36" t="str">
        <f t="shared" si="4"/>
        <v/>
      </c>
      <c r="Q22" s="26">
        <f t="shared" si="22"/>
        <v>48.98</v>
      </c>
      <c r="R22" s="36" t="str">
        <f t="shared" si="5"/>
        <v/>
      </c>
      <c r="S22" s="26">
        <f t="shared" si="23"/>
        <v>11.46</v>
      </c>
      <c r="T22" s="36" t="str">
        <f t="shared" si="6"/>
        <v/>
      </c>
      <c r="U22" s="53">
        <v>78</v>
      </c>
      <c r="V22" s="36" t="str">
        <f t="shared" si="7"/>
        <v/>
      </c>
      <c r="W22" s="26">
        <f t="shared" si="24"/>
        <v>24.25</v>
      </c>
      <c r="X22" s="36" t="str">
        <f t="shared" si="8"/>
        <v/>
      </c>
      <c r="Y22" s="25">
        <f t="shared" si="25"/>
        <v>0.55000000000000004</v>
      </c>
      <c r="Z22" s="36" t="str">
        <f t="shared" si="9"/>
        <v/>
      </c>
      <c r="AA22" s="26">
        <f t="shared" si="10"/>
        <v>23.7</v>
      </c>
      <c r="AB22" s="36" t="str">
        <f t="shared" si="11"/>
        <v/>
      </c>
      <c r="AC22" s="26">
        <v>20</v>
      </c>
      <c r="AD22" s="36" t="str">
        <f t="shared" si="12"/>
        <v/>
      </c>
      <c r="AE22" s="26">
        <v>0</v>
      </c>
      <c r="AF22" s="36" t="str">
        <f t="shared" si="13"/>
        <v/>
      </c>
      <c r="AG22" s="26">
        <v>1.65</v>
      </c>
      <c r="AH22" s="36" t="str">
        <f t="shared" si="14"/>
        <v/>
      </c>
      <c r="AI22" s="90">
        <v>317</v>
      </c>
      <c r="AJ22" s="92">
        <f t="shared" si="15"/>
        <v>581.41</v>
      </c>
      <c r="AK22" s="36" t="str">
        <f t="shared" si="16"/>
        <v/>
      </c>
      <c r="AL22" s="26">
        <f t="shared" si="26"/>
        <v>790</v>
      </c>
      <c r="AM22" s="36" t="str">
        <f t="shared" si="17"/>
        <v/>
      </c>
      <c r="AN22" s="26">
        <f t="shared" si="27"/>
        <v>790</v>
      </c>
      <c r="AO22" s="36" t="str">
        <f t="shared" si="18"/>
        <v/>
      </c>
      <c r="AP22" s="26">
        <f t="shared" si="28"/>
        <v>790</v>
      </c>
      <c r="AQ22" s="36" t="str">
        <f t="shared" si="19"/>
        <v/>
      </c>
      <c r="AR22" s="26">
        <f t="shared" si="29"/>
        <v>790</v>
      </c>
      <c r="AS22" s="36" t="str">
        <f t="shared" si="20"/>
        <v/>
      </c>
      <c r="AT22" s="99"/>
      <c r="AU22" s="205">
        <f>19.75*40</f>
        <v>790</v>
      </c>
      <c r="AV22" s="205"/>
      <c r="AW22" s="205"/>
      <c r="AX22" s="205">
        <f t="shared" si="30"/>
        <v>790</v>
      </c>
      <c r="AY22" s="26">
        <f t="shared" si="31"/>
        <v>48.98</v>
      </c>
      <c r="AZ22" s="26">
        <f t="shared" si="32"/>
        <v>11.46</v>
      </c>
      <c r="BA22" s="53">
        <v>78</v>
      </c>
      <c r="BB22" s="25">
        <f t="shared" si="33"/>
        <v>24.25</v>
      </c>
      <c r="BC22" s="25">
        <f t="shared" si="34"/>
        <v>0.55000000000000004</v>
      </c>
      <c r="BD22" s="25">
        <f t="shared" si="35"/>
        <v>23.7</v>
      </c>
      <c r="BE22" s="26">
        <v>20</v>
      </c>
      <c r="BF22" s="26">
        <v>0</v>
      </c>
      <c r="BG22" s="26">
        <v>1.65</v>
      </c>
      <c r="BH22" s="3">
        <f t="shared" si="21"/>
        <v>581.41</v>
      </c>
      <c r="BI22" s="26">
        <f t="shared" si="36"/>
        <v>790</v>
      </c>
      <c r="BJ22" s="26">
        <f t="shared" si="37"/>
        <v>790</v>
      </c>
      <c r="BK22" s="26">
        <f t="shared" si="38"/>
        <v>790</v>
      </c>
      <c r="BL22" s="26">
        <f t="shared" si="39"/>
        <v>790</v>
      </c>
    </row>
    <row r="23" spans="2:64" ht="15">
      <c r="B23" s="18" t="s">
        <v>32</v>
      </c>
      <c r="C23" s="103"/>
      <c r="D23" s="20"/>
      <c r="E23" s="193" t="s">
        <v>8</v>
      </c>
      <c r="F23" s="193">
        <v>3</v>
      </c>
      <c r="G23" s="176">
        <v>40</v>
      </c>
      <c r="H23" s="175"/>
      <c r="I23" s="67">
        <v>515</v>
      </c>
      <c r="J23" s="35" t="str">
        <f t="shared" si="0"/>
        <v/>
      </c>
      <c r="K23" s="78">
        <v>1.25</v>
      </c>
      <c r="L23" s="95">
        <f>(ROUND(I23/40,2))*1.5</f>
        <v>19.32</v>
      </c>
      <c r="M23" s="76">
        <f t="shared" si="1"/>
        <v>24.15</v>
      </c>
      <c r="N23" s="35" t="str">
        <f t="shared" si="2"/>
        <v/>
      </c>
      <c r="O23" s="53">
        <f t="shared" si="3"/>
        <v>539.15</v>
      </c>
      <c r="P23" s="36" t="str">
        <f t="shared" si="4"/>
        <v/>
      </c>
      <c r="Q23" s="26">
        <f t="shared" si="22"/>
        <v>33.43</v>
      </c>
      <c r="R23" s="36" t="str">
        <f t="shared" si="5"/>
        <v/>
      </c>
      <c r="S23" s="26">
        <f t="shared" si="23"/>
        <v>7.82</v>
      </c>
      <c r="T23" s="36" t="str">
        <f t="shared" si="6"/>
        <v/>
      </c>
      <c r="U23" s="53">
        <v>10</v>
      </c>
      <c r="V23" s="36" t="str">
        <f t="shared" si="7"/>
        <v/>
      </c>
      <c r="W23" s="26">
        <f t="shared" si="24"/>
        <v>16.55</v>
      </c>
      <c r="X23" s="36" t="str">
        <f t="shared" si="8"/>
        <v/>
      </c>
      <c r="Y23" s="25">
        <f t="shared" si="25"/>
        <v>0.38</v>
      </c>
      <c r="Z23" s="36" t="str">
        <f t="shared" si="9"/>
        <v/>
      </c>
      <c r="AA23" s="26">
        <f t="shared" si="10"/>
        <v>16.170000000000002</v>
      </c>
      <c r="AB23" s="36" t="str">
        <f t="shared" si="11"/>
        <v/>
      </c>
      <c r="AC23" s="26">
        <v>40</v>
      </c>
      <c r="AD23" s="36" t="str">
        <f t="shared" si="12"/>
        <v/>
      </c>
      <c r="AE23" s="26">
        <v>0.85</v>
      </c>
      <c r="AF23" s="36" t="str">
        <f t="shared" si="13"/>
        <v/>
      </c>
      <c r="AG23" s="26">
        <v>1.65</v>
      </c>
      <c r="AH23" s="36" t="str">
        <f t="shared" si="14"/>
        <v/>
      </c>
      <c r="AI23" s="90">
        <v>318</v>
      </c>
      <c r="AJ23" s="92">
        <f t="shared" si="15"/>
        <v>412.3</v>
      </c>
      <c r="AK23" s="36" t="str">
        <f t="shared" si="16"/>
        <v/>
      </c>
      <c r="AL23" s="26">
        <f t="shared" si="26"/>
        <v>539.15</v>
      </c>
      <c r="AM23" s="36" t="str">
        <f t="shared" si="17"/>
        <v/>
      </c>
      <c r="AN23" s="26">
        <f t="shared" si="27"/>
        <v>539.15</v>
      </c>
      <c r="AO23" s="36" t="str">
        <f t="shared" si="18"/>
        <v/>
      </c>
      <c r="AP23" s="26">
        <f t="shared" si="28"/>
        <v>539.15</v>
      </c>
      <c r="AQ23" s="36" t="str">
        <f t="shared" si="19"/>
        <v/>
      </c>
      <c r="AR23" s="26">
        <f t="shared" si="29"/>
        <v>539.15</v>
      </c>
      <c r="AS23" s="36" t="str">
        <f t="shared" si="20"/>
        <v/>
      </c>
      <c r="AT23" s="99"/>
      <c r="AU23" s="205">
        <v>515</v>
      </c>
      <c r="AV23" s="205">
        <v>24.15</v>
      </c>
      <c r="AW23" s="205"/>
      <c r="AX23" s="205">
        <f t="shared" si="30"/>
        <v>539.15</v>
      </c>
      <c r="AY23" s="26">
        <f t="shared" si="31"/>
        <v>33.43</v>
      </c>
      <c r="AZ23" s="26">
        <f t="shared" si="32"/>
        <v>7.82</v>
      </c>
      <c r="BA23" s="53">
        <v>10</v>
      </c>
      <c r="BB23" s="25">
        <f t="shared" si="33"/>
        <v>16.55</v>
      </c>
      <c r="BC23" s="25">
        <f t="shared" si="34"/>
        <v>0.38</v>
      </c>
      <c r="BD23" s="25">
        <f t="shared" si="35"/>
        <v>16.170000000000002</v>
      </c>
      <c r="BE23" s="26">
        <v>40</v>
      </c>
      <c r="BF23" s="26">
        <v>0.85</v>
      </c>
      <c r="BG23" s="26">
        <v>1.65</v>
      </c>
      <c r="BH23" s="3">
        <f t="shared" si="21"/>
        <v>412.3</v>
      </c>
      <c r="BI23" s="26">
        <f t="shared" si="36"/>
        <v>539.15</v>
      </c>
      <c r="BJ23" s="26">
        <f t="shared" si="37"/>
        <v>539.15</v>
      </c>
      <c r="BK23" s="26">
        <f t="shared" si="38"/>
        <v>539.15</v>
      </c>
      <c r="BL23" s="26">
        <f t="shared" si="39"/>
        <v>539.15</v>
      </c>
    </row>
    <row r="24" spans="2:64" ht="15">
      <c r="B24" s="18" t="s">
        <v>33</v>
      </c>
      <c r="C24" s="103"/>
      <c r="D24" s="20"/>
      <c r="E24" s="193" t="s">
        <v>8</v>
      </c>
      <c r="F24" s="193">
        <v>6</v>
      </c>
      <c r="G24" s="176">
        <v>40</v>
      </c>
      <c r="H24" s="175"/>
      <c r="I24" s="67">
        <f>ROUND(2700*12/52,2)</f>
        <v>623.08000000000004</v>
      </c>
      <c r="J24" s="35" t="str">
        <f t="shared" si="0"/>
        <v/>
      </c>
      <c r="K24" s="78"/>
      <c r="L24" s="94"/>
      <c r="M24" s="67"/>
      <c r="N24" s="35" t="str">
        <f t="shared" si="2"/>
        <v/>
      </c>
      <c r="O24" s="53">
        <f t="shared" si="3"/>
        <v>623.08000000000004</v>
      </c>
      <c r="P24" s="36" t="str">
        <f t="shared" si="4"/>
        <v/>
      </c>
      <c r="Q24" s="26">
        <f t="shared" si="22"/>
        <v>38.630000000000003</v>
      </c>
      <c r="R24" s="36" t="str">
        <f t="shared" si="5"/>
        <v/>
      </c>
      <c r="S24" s="26">
        <f t="shared" si="23"/>
        <v>9.0299999999999994</v>
      </c>
      <c r="T24" s="36" t="str">
        <f t="shared" si="6"/>
        <v/>
      </c>
      <c r="U24" s="53">
        <v>0</v>
      </c>
      <c r="V24" s="36" t="str">
        <f t="shared" si="7"/>
        <v/>
      </c>
      <c r="W24" s="26">
        <f t="shared" si="24"/>
        <v>19.13</v>
      </c>
      <c r="X24" s="36" t="str">
        <f t="shared" si="8"/>
        <v/>
      </c>
      <c r="Y24" s="25">
        <f t="shared" si="25"/>
        <v>0.44</v>
      </c>
      <c r="Z24" s="36" t="str">
        <f t="shared" si="9"/>
        <v/>
      </c>
      <c r="AA24" s="26">
        <f t="shared" si="10"/>
        <v>18.690000000000001</v>
      </c>
      <c r="AB24" s="36" t="str">
        <f t="shared" si="11"/>
        <v/>
      </c>
      <c r="AC24" s="26">
        <v>50</v>
      </c>
      <c r="AD24" s="36" t="str">
        <f t="shared" si="12"/>
        <v/>
      </c>
      <c r="AE24" s="26">
        <v>0.85</v>
      </c>
      <c r="AF24" s="36" t="str">
        <f t="shared" si="13"/>
        <v/>
      </c>
      <c r="AG24" s="26">
        <v>1.65</v>
      </c>
      <c r="AH24" s="36" t="str">
        <f t="shared" si="14"/>
        <v/>
      </c>
      <c r="AI24" s="90">
        <v>319</v>
      </c>
      <c r="AJ24" s="92">
        <f t="shared" si="15"/>
        <v>484.66</v>
      </c>
      <c r="AK24" s="36" t="str">
        <f t="shared" si="16"/>
        <v/>
      </c>
      <c r="AL24" s="26">
        <f t="shared" si="26"/>
        <v>623.08000000000004</v>
      </c>
      <c r="AM24" s="36" t="str">
        <f t="shared" si="17"/>
        <v/>
      </c>
      <c r="AN24" s="26">
        <f t="shared" si="27"/>
        <v>623.08000000000004</v>
      </c>
      <c r="AO24" s="36" t="str">
        <f t="shared" si="18"/>
        <v/>
      </c>
      <c r="AP24" s="26">
        <f t="shared" si="28"/>
        <v>623.08000000000004</v>
      </c>
      <c r="AQ24" s="36" t="str">
        <f t="shared" si="19"/>
        <v/>
      </c>
      <c r="AR24" s="26">
        <f t="shared" si="29"/>
        <v>623.08000000000004</v>
      </c>
      <c r="AS24" s="36" t="str">
        <f t="shared" si="20"/>
        <v/>
      </c>
      <c r="AT24" s="99"/>
      <c r="AU24" s="205">
        <f>ROUND(2700*12/52,2)</f>
        <v>623.08000000000004</v>
      </c>
      <c r="AV24" s="205"/>
      <c r="AW24" s="205"/>
      <c r="AX24" s="205">
        <f t="shared" si="30"/>
        <v>623.08000000000004</v>
      </c>
      <c r="AY24" s="26">
        <f t="shared" si="31"/>
        <v>38.630000000000003</v>
      </c>
      <c r="AZ24" s="26">
        <f t="shared" si="32"/>
        <v>9.0299999999999994</v>
      </c>
      <c r="BA24" s="53">
        <v>0</v>
      </c>
      <c r="BB24" s="25">
        <f t="shared" si="33"/>
        <v>19.13</v>
      </c>
      <c r="BC24" s="25">
        <f t="shared" si="34"/>
        <v>0.44</v>
      </c>
      <c r="BD24" s="25">
        <f t="shared" si="35"/>
        <v>18.690000000000001</v>
      </c>
      <c r="BE24" s="26">
        <v>50</v>
      </c>
      <c r="BF24" s="26">
        <v>0.85</v>
      </c>
      <c r="BG24" s="26">
        <v>1.65</v>
      </c>
      <c r="BH24" s="3">
        <f t="shared" si="21"/>
        <v>484.66</v>
      </c>
      <c r="BI24" s="26">
        <f t="shared" si="36"/>
        <v>623.08000000000004</v>
      </c>
      <c r="BJ24" s="26">
        <f t="shared" si="37"/>
        <v>623.08000000000004</v>
      </c>
      <c r="BK24" s="26">
        <f t="shared" si="38"/>
        <v>623.08000000000004</v>
      </c>
      <c r="BL24" s="26">
        <f t="shared" si="39"/>
        <v>623.08000000000004</v>
      </c>
    </row>
    <row r="25" spans="2:64" ht="15">
      <c r="B25" s="18" t="s">
        <v>34</v>
      </c>
      <c r="C25" s="103"/>
      <c r="D25" s="20"/>
      <c r="E25" s="193" t="s">
        <v>9</v>
      </c>
      <c r="F25" s="193">
        <v>1</v>
      </c>
      <c r="G25" s="176">
        <v>40</v>
      </c>
      <c r="H25" s="175"/>
      <c r="I25" s="67">
        <f>ROUND(3350*12/52,2)</f>
        <v>773.08</v>
      </c>
      <c r="J25" s="35" t="str">
        <f t="shared" si="0"/>
        <v/>
      </c>
      <c r="K25" s="78"/>
      <c r="L25" s="94"/>
      <c r="M25" s="67"/>
      <c r="N25" s="35" t="str">
        <f t="shared" si="2"/>
        <v/>
      </c>
      <c r="O25" s="53">
        <f t="shared" si="3"/>
        <v>773.08</v>
      </c>
      <c r="P25" s="36" t="str">
        <f t="shared" si="4"/>
        <v/>
      </c>
      <c r="Q25" s="26">
        <f t="shared" si="22"/>
        <v>47.93</v>
      </c>
      <c r="R25" s="36" t="str">
        <f t="shared" si="5"/>
        <v/>
      </c>
      <c r="S25" s="26">
        <f t="shared" si="23"/>
        <v>11.21</v>
      </c>
      <c r="T25" s="36" t="str">
        <f t="shared" si="6"/>
        <v/>
      </c>
      <c r="U25" s="53">
        <v>80</v>
      </c>
      <c r="V25" s="36" t="str">
        <f t="shared" si="7"/>
        <v/>
      </c>
      <c r="W25" s="26">
        <f t="shared" si="24"/>
        <v>23.73</v>
      </c>
      <c r="X25" s="36" t="str">
        <f t="shared" si="8"/>
        <v/>
      </c>
      <c r="Y25" s="25">
        <f t="shared" si="25"/>
        <v>0.54</v>
      </c>
      <c r="Z25" s="36" t="str">
        <f t="shared" si="9"/>
        <v/>
      </c>
      <c r="AA25" s="26">
        <f t="shared" si="10"/>
        <v>23.19</v>
      </c>
      <c r="AB25" s="36" t="str">
        <f t="shared" si="11"/>
        <v/>
      </c>
      <c r="AC25" s="26">
        <v>60</v>
      </c>
      <c r="AD25" s="36" t="str">
        <f t="shared" si="12"/>
        <v/>
      </c>
      <c r="AE25" s="26">
        <v>0</v>
      </c>
      <c r="AF25" s="36" t="str">
        <f t="shared" si="13"/>
        <v/>
      </c>
      <c r="AG25" s="26">
        <v>1.65</v>
      </c>
      <c r="AH25" s="36" t="str">
        <f t="shared" si="14"/>
        <v/>
      </c>
      <c r="AI25" s="90">
        <v>320</v>
      </c>
      <c r="AJ25" s="92">
        <f t="shared" si="15"/>
        <v>524.83000000000004</v>
      </c>
      <c r="AK25" s="36" t="str">
        <f t="shared" si="16"/>
        <v/>
      </c>
      <c r="AL25" s="26">
        <f t="shared" si="26"/>
        <v>773.08</v>
      </c>
      <c r="AM25" s="36" t="str">
        <f t="shared" si="17"/>
        <v/>
      </c>
      <c r="AN25" s="26">
        <f t="shared" si="27"/>
        <v>773.08</v>
      </c>
      <c r="AO25" s="36" t="str">
        <f t="shared" si="18"/>
        <v/>
      </c>
      <c r="AP25" s="26">
        <f t="shared" si="28"/>
        <v>773.08</v>
      </c>
      <c r="AQ25" s="36" t="str">
        <f t="shared" si="19"/>
        <v/>
      </c>
      <c r="AR25" s="26">
        <f t="shared" si="29"/>
        <v>773.08</v>
      </c>
      <c r="AS25" s="36" t="str">
        <f t="shared" si="20"/>
        <v/>
      </c>
      <c r="AT25" s="99"/>
      <c r="AU25" s="205">
        <f>ROUND(3350*12/52,2)</f>
        <v>773.08</v>
      </c>
      <c r="AV25" s="205"/>
      <c r="AW25" s="205"/>
      <c r="AX25" s="205">
        <f t="shared" si="30"/>
        <v>773.08</v>
      </c>
      <c r="AY25" s="26">
        <f t="shared" si="31"/>
        <v>47.93</v>
      </c>
      <c r="AZ25" s="26">
        <f t="shared" si="32"/>
        <v>11.21</v>
      </c>
      <c r="BA25" s="53">
        <v>80</v>
      </c>
      <c r="BB25" s="25">
        <f t="shared" si="33"/>
        <v>23.73</v>
      </c>
      <c r="BC25" s="25">
        <f t="shared" si="34"/>
        <v>0.54</v>
      </c>
      <c r="BD25" s="25">
        <f t="shared" si="35"/>
        <v>23.19</v>
      </c>
      <c r="BE25" s="26">
        <v>60</v>
      </c>
      <c r="BF25" s="26">
        <v>0</v>
      </c>
      <c r="BG25" s="26">
        <v>1.65</v>
      </c>
      <c r="BH25" s="3">
        <f t="shared" si="21"/>
        <v>524.83000000000004</v>
      </c>
      <c r="BI25" s="26">
        <f t="shared" si="36"/>
        <v>773.08</v>
      </c>
      <c r="BJ25" s="26">
        <f t="shared" si="37"/>
        <v>773.08</v>
      </c>
      <c r="BK25" s="26">
        <f t="shared" si="38"/>
        <v>773.08</v>
      </c>
      <c r="BL25" s="26">
        <f t="shared" si="39"/>
        <v>773.08</v>
      </c>
    </row>
    <row r="26" spans="2:64" ht="15">
      <c r="B26" s="18" t="s">
        <v>35</v>
      </c>
      <c r="C26" s="103"/>
      <c r="D26" s="20"/>
      <c r="E26" s="193" t="s">
        <v>8</v>
      </c>
      <c r="F26" s="193">
        <v>5</v>
      </c>
      <c r="G26" s="176">
        <v>40</v>
      </c>
      <c r="H26" s="175"/>
      <c r="I26" s="67">
        <f>ROUND(2510*12/52,2)</f>
        <v>579.23</v>
      </c>
      <c r="J26" s="35" t="str">
        <f t="shared" si="0"/>
        <v/>
      </c>
      <c r="K26" s="78">
        <v>4</v>
      </c>
      <c r="L26" s="94">
        <f>(ROUND(I26/40,2))*1.5</f>
        <v>21.72</v>
      </c>
      <c r="M26" s="74">
        <f>K26*L26</f>
        <v>86.88</v>
      </c>
      <c r="N26" s="35" t="str">
        <f t="shared" si="2"/>
        <v/>
      </c>
      <c r="O26" s="53">
        <f t="shared" si="3"/>
        <v>666.11</v>
      </c>
      <c r="P26" s="36" t="str">
        <f t="shared" si="4"/>
        <v/>
      </c>
      <c r="Q26" s="26">
        <f t="shared" si="22"/>
        <v>41.3</v>
      </c>
      <c r="R26" s="36" t="str">
        <f t="shared" si="5"/>
        <v/>
      </c>
      <c r="S26" s="26">
        <f t="shared" si="23"/>
        <v>9.66</v>
      </c>
      <c r="T26" s="36" t="str">
        <f t="shared" si="6"/>
        <v/>
      </c>
      <c r="U26" s="53">
        <v>9</v>
      </c>
      <c r="V26" s="36" t="str">
        <f t="shared" si="7"/>
        <v/>
      </c>
      <c r="W26" s="26">
        <f t="shared" si="24"/>
        <v>20.45</v>
      </c>
      <c r="X26" s="36" t="str">
        <f t="shared" si="8"/>
        <v/>
      </c>
      <c r="Y26" s="25">
        <f t="shared" si="25"/>
        <v>0.47</v>
      </c>
      <c r="Z26" s="36" t="str">
        <f t="shared" si="9"/>
        <v/>
      </c>
      <c r="AA26" s="26">
        <f t="shared" si="10"/>
        <v>19.98</v>
      </c>
      <c r="AB26" s="36" t="str">
        <f t="shared" si="11"/>
        <v/>
      </c>
      <c r="AC26" s="26">
        <v>30</v>
      </c>
      <c r="AD26" s="36" t="str">
        <f t="shared" si="12"/>
        <v/>
      </c>
      <c r="AE26" s="26">
        <v>0.85</v>
      </c>
      <c r="AF26" s="36" t="str">
        <f t="shared" si="13"/>
        <v/>
      </c>
      <c r="AG26" s="26">
        <v>1.65</v>
      </c>
      <c r="AH26" s="36" t="str">
        <f t="shared" si="14"/>
        <v/>
      </c>
      <c r="AI26" s="90">
        <v>321</v>
      </c>
      <c r="AJ26" s="92">
        <f t="shared" si="15"/>
        <v>532.75</v>
      </c>
      <c r="AK26" s="36" t="str">
        <f t="shared" si="16"/>
        <v/>
      </c>
      <c r="AL26" s="26">
        <f t="shared" si="26"/>
        <v>666.11</v>
      </c>
      <c r="AM26" s="36" t="str">
        <f t="shared" si="17"/>
        <v/>
      </c>
      <c r="AN26" s="26">
        <f t="shared" si="27"/>
        <v>666.11</v>
      </c>
      <c r="AO26" s="36" t="str">
        <f t="shared" si="18"/>
        <v/>
      </c>
      <c r="AP26" s="26">
        <f t="shared" si="28"/>
        <v>666.11</v>
      </c>
      <c r="AQ26" s="36" t="str">
        <f t="shared" si="19"/>
        <v/>
      </c>
      <c r="AR26" s="26">
        <f t="shared" si="29"/>
        <v>666.11</v>
      </c>
      <c r="AS26" s="36" t="str">
        <f t="shared" si="20"/>
        <v/>
      </c>
      <c r="AT26" s="99"/>
      <c r="AU26" s="205">
        <f>ROUND(2510*12/52,2)</f>
        <v>579.23</v>
      </c>
      <c r="AV26" s="205">
        <f>ROUND(579.23/40,2)*1.5*4</f>
        <v>86.88</v>
      </c>
      <c r="AW26" s="205"/>
      <c r="AX26" s="205">
        <f t="shared" si="30"/>
        <v>666.11</v>
      </c>
      <c r="AY26" s="26">
        <f t="shared" si="31"/>
        <v>41.3</v>
      </c>
      <c r="AZ26" s="26">
        <f t="shared" si="32"/>
        <v>9.66</v>
      </c>
      <c r="BA26" s="53">
        <v>9</v>
      </c>
      <c r="BB26" s="25">
        <f t="shared" si="33"/>
        <v>20.45</v>
      </c>
      <c r="BC26" s="25">
        <f t="shared" si="34"/>
        <v>0.47</v>
      </c>
      <c r="BD26" s="25">
        <f t="shared" si="35"/>
        <v>19.98</v>
      </c>
      <c r="BE26" s="26">
        <v>30</v>
      </c>
      <c r="BF26" s="26">
        <v>0.85</v>
      </c>
      <c r="BG26" s="26">
        <v>1.65</v>
      </c>
      <c r="BH26" s="3">
        <f t="shared" si="21"/>
        <v>532.75</v>
      </c>
      <c r="BI26" s="26">
        <f t="shared" si="36"/>
        <v>666.11</v>
      </c>
      <c r="BJ26" s="26">
        <f t="shared" si="37"/>
        <v>666.11</v>
      </c>
      <c r="BK26" s="26">
        <f t="shared" si="38"/>
        <v>666.11</v>
      </c>
      <c r="BL26" s="26">
        <f t="shared" si="39"/>
        <v>666.11</v>
      </c>
    </row>
    <row r="27" spans="2:64" ht="15">
      <c r="B27" s="18" t="s">
        <v>36</v>
      </c>
      <c r="C27" s="103"/>
      <c r="D27" s="20"/>
      <c r="E27" s="193" t="s">
        <v>8</v>
      </c>
      <c r="F27" s="193">
        <v>7</v>
      </c>
      <c r="G27" s="176">
        <v>40</v>
      </c>
      <c r="H27" s="175"/>
      <c r="I27" s="69">
        <f>ROUND(52000/52,2)</f>
        <v>1000</v>
      </c>
      <c r="J27" s="35" t="str">
        <f t="shared" si="0"/>
        <v/>
      </c>
      <c r="K27" s="79"/>
      <c r="L27" s="79"/>
      <c r="M27" s="69"/>
      <c r="N27" s="35" t="str">
        <f t="shared" si="2"/>
        <v/>
      </c>
      <c r="O27" s="53">
        <f t="shared" si="3"/>
        <v>1000</v>
      </c>
      <c r="P27" s="47" t="str">
        <f t="shared" si="4"/>
        <v/>
      </c>
      <c r="Q27" s="26">
        <f t="shared" si="22"/>
        <v>62</v>
      </c>
      <c r="R27" s="5" t="str">
        <f t="shared" si="5"/>
        <v/>
      </c>
      <c r="S27" s="26">
        <f t="shared" si="23"/>
        <v>14.5</v>
      </c>
      <c r="T27" s="36" t="str">
        <f t="shared" si="6"/>
        <v/>
      </c>
      <c r="U27" s="51">
        <v>22</v>
      </c>
      <c r="V27" s="50" t="str">
        <f t="shared" si="7"/>
        <v/>
      </c>
      <c r="W27" s="26">
        <f t="shared" si="24"/>
        <v>30.7</v>
      </c>
      <c r="X27" s="36" t="str">
        <f t="shared" si="8"/>
        <v/>
      </c>
      <c r="Y27" s="25">
        <f t="shared" si="25"/>
        <v>0.7</v>
      </c>
      <c r="Z27" s="61" t="str">
        <f t="shared" si="9"/>
        <v/>
      </c>
      <c r="AA27" s="38">
        <f t="shared" si="10"/>
        <v>30</v>
      </c>
      <c r="AB27" s="36" t="str">
        <f t="shared" si="11"/>
        <v/>
      </c>
      <c r="AC27" s="38">
        <v>80</v>
      </c>
      <c r="AD27" s="36" t="str">
        <f t="shared" si="12"/>
        <v/>
      </c>
      <c r="AE27" s="38">
        <v>0.85</v>
      </c>
      <c r="AF27" s="61" t="str">
        <f t="shared" si="13"/>
        <v/>
      </c>
      <c r="AG27" s="38">
        <v>1.65</v>
      </c>
      <c r="AH27" s="61" t="str">
        <f t="shared" si="14"/>
        <v/>
      </c>
      <c r="AI27" s="90">
        <v>322</v>
      </c>
      <c r="AJ27" s="92">
        <f t="shared" si="15"/>
        <v>757.6</v>
      </c>
      <c r="AK27" s="36" t="str">
        <f t="shared" si="16"/>
        <v/>
      </c>
      <c r="AL27" s="38">
        <f t="shared" si="26"/>
        <v>1000</v>
      </c>
      <c r="AM27" s="61" t="str">
        <f t="shared" si="17"/>
        <v/>
      </c>
      <c r="AN27" s="62">
        <f t="shared" si="27"/>
        <v>1000</v>
      </c>
      <c r="AO27" s="61" t="str">
        <f t="shared" si="18"/>
        <v/>
      </c>
      <c r="AP27" s="38">
        <f t="shared" si="28"/>
        <v>1000</v>
      </c>
      <c r="AQ27" s="36" t="str">
        <f t="shared" si="19"/>
        <v/>
      </c>
      <c r="AR27" s="38">
        <f t="shared" si="29"/>
        <v>1000</v>
      </c>
      <c r="AS27" s="36" t="str">
        <f t="shared" si="20"/>
        <v/>
      </c>
      <c r="AT27" s="99"/>
      <c r="AU27" s="205">
        <f>ROUND(52000/52,2)</f>
        <v>1000</v>
      </c>
      <c r="AV27" s="205"/>
      <c r="AW27" s="205"/>
      <c r="AX27" s="205">
        <f t="shared" si="30"/>
        <v>1000</v>
      </c>
      <c r="AY27" s="26">
        <f t="shared" si="31"/>
        <v>62</v>
      </c>
      <c r="AZ27" s="26">
        <f t="shared" si="32"/>
        <v>14.5</v>
      </c>
      <c r="BA27" s="51">
        <v>22</v>
      </c>
      <c r="BB27" s="25">
        <f t="shared" si="33"/>
        <v>30.7</v>
      </c>
      <c r="BC27" s="25">
        <f t="shared" si="34"/>
        <v>0.7</v>
      </c>
      <c r="BD27" s="25">
        <f t="shared" si="35"/>
        <v>30</v>
      </c>
      <c r="BE27" s="38">
        <v>80</v>
      </c>
      <c r="BF27" s="38">
        <v>0.85</v>
      </c>
      <c r="BG27" s="38">
        <v>1.65</v>
      </c>
      <c r="BH27" s="3">
        <f t="shared" si="21"/>
        <v>757.6</v>
      </c>
      <c r="BI27" s="38">
        <f t="shared" si="36"/>
        <v>1000</v>
      </c>
      <c r="BJ27" s="62">
        <f t="shared" si="37"/>
        <v>1000</v>
      </c>
      <c r="BK27" s="62">
        <f t="shared" si="38"/>
        <v>1000</v>
      </c>
      <c r="BL27" s="62">
        <f t="shared" si="39"/>
        <v>1000</v>
      </c>
    </row>
    <row r="28" spans="2:64" ht="13" customHeight="1" thickBot="1">
      <c r="B28" s="18" t="s">
        <v>14</v>
      </c>
      <c r="C28" s="103"/>
      <c r="D28" s="20"/>
      <c r="E28" s="19"/>
      <c r="F28" s="19"/>
      <c r="G28" s="65"/>
      <c r="H28" s="19"/>
      <c r="I28" s="70">
        <f>SUM(I18:I27)</f>
        <v>7065.14</v>
      </c>
      <c r="J28" s="37" t="str">
        <f t="shared" si="0"/>
        <v/>
      </c>
      <c r="K28" s="100"/>
      <c r="L28" s="101"/>
      <c r="M28" s="70">
        <f>SUM(M18:M27)</f>
        <v>479.17</v>
      </c>
      <c r="N28" s="37" t="str">
        <f t="shared" si="2"/>
        <v/>
      </c>
      <c r="O28" s="70">
        <f>SUM(O18:O27)</f>
        <v>7544.31</v>
      </c>
      <c r="P28" s="37" t="str">
        <f t="shared" si="4"/>
        <v/>
      </c>
      <c r="Q28" s="70">
        <f>SUM(Q18:Q27)</f>
        <v>467.75</v>
      </c>
      <c r="R28" s="37" t="str">
        <f t="shared" si="5"/>
        <v/>
      </c>
      <c r="S28" s="70">
        <f>SUM(S18:S27)</f>
        <v>109.4</v>
      </c>
      <c r="T28" s="37" t="str">
        <f t="shared" si="6"/>
        <v/>
      </c>
      <c r="U28" s="70">
        <f>SUM(U18:U27)</f>
        <v>461</v>
      </c>
      <c r="V28" s="37" t="str">
        <f t="shared" si="7"/>
        <v/>
      </c>
      <c r="W28" s="70">
        <f>SUM(W18:W27)</f>
        <v>231.61</v>
      </c>
      <c r="X28" s="37" t="str">
        <f t="shared" si="8"/>
        <v/>
      </c>
      <c r="Y28" s="70">
        <f>SUM(Y18:Y27)</f>
        <v>5.29</v>
      </c>
      <c r="Z28" s="37" t="str">
        <f t="shared" si="9"/>
        <v/>
      </c>
      <c r="AA28" s="70">
        <f>SUM(AA18:AA27)</f>
        <v>226.31</v>
      </c>
      <c r="AB28" s="37" t="str">
        <f t="shared" si="11"/>
        <v/>
      </c>
      <c r="AC28" s="70">
        <f>SUM(AC18:AC27)</f>
        <v>440</v>
      </c>
      <c r="AD28" s="37" t="str">
        <f t="shared" si="12"/>
        <v/>
      </c>
      <c r="AE28" s="70">
        <f>SUM(AE18:AE27)</f>
        <v>6.8</v>
      </c>
      <c r="AF28" s="37" t="str">
        <f t="shared" si="13"/>
        <v/>
      </c>
      <c r="AG28" s="70">
        <f>SUM(AG18:AG27)</f>
        <v>16.5</v>
      </c>
      <c r="AH28" s="37" t="str">
        <f t="shared" si="14"/>
        <v/>
      </c>
      <c r="AI28" s="91"/>
      <c r="AJ28" s="70">
        <f>SUM(AJ18:AJ27)</f>
        <v>5579.65</v>
      </c>
      <c r="AK28" s="37" t="str">
        <f t="shared" si="16"/>
        <v/>
      </c>
      <c r="AL28" s="70">
        <f>SUM(AL18:AL27)</f>
        <v>7544.31</v>
      </c>
      <c r="AM28" s="37" t="str">
        <f t="shared" si="17"/>
        <v/>
      </c>
      <c r="AN28" s="70">
        <f>SUM(AN18:AN27)</f>
        <v>7544.31</v>
      </c>
      <c r="AO28" s="37" t="str">
        <f t="shared" si="18"/>
        <v/>
      </c>
      <c r="AP28" s="70">
        <f>SUM(AP18:AP27)</f>
        <v>7544.31</v>
      </c>
      <c r="AQ28" s="37" t="str">
        <f t="shared" si="19"/>
        <v/>
      </c>
      <c r="AR28" s="70">
        <f>SUM(AR18:AR27)</f>
        <v>7544.31</v>
      </c>
      <c r="AS28" s="37" t="str">
        <f t="shared" si="20"/>
        <v/>
      </c>
      <c r="AT28" s="99"/>
      <c r="AU28" s="70">
        <f>SUM(AU18:AU27)</f>
        <v>7065.14</v>
      </c>
      <c r="AV28" s="70">
        <f>SUM(AV18:AV27)</f>
        <v>479.17</v>
      </c>
      <c r="AW28" s="48"/>
      <c r="AX28" s="70">
        <f t="shared" ref="AX28:BL28" si="40">SUM(AX18:AX27)</f>
        <v>7544.31</v>
      </c>
      <c r="AY28" s="70">
        <f t="shared" si="40"/>
        <v>467.75</v>
      </c>
      <c r="AZ28" s="70">
        <f t="shared" si="40"/>
        <v>109.4</v>
      </c>
      <c r="BA28" s="70">
        <f t="shared" si="40"/>
        <v>461</v>
      </c>
      <c r="BB28" s="70">
        <f t="shared" si="40"/>
        <v>231.61</v>
      </c>
      <c r="BC28" s="70">
        <f t="shared" si="40"/>
        <v>5.29</v>
      </c>
      <c r="BD28" s="70">
        <f t="shared" si="40"/>
        <v>226.31</v>
      </c>
      <c r="BE28" s="70">
        <f t="shared" si="40"/>
        <v>440</v>
      </c>
      <c r="BF28" s="70">
        <f t="shared" si="40"/>
        <v>6.8</v>
      </c>
      <c r="BG28" s="70">
        <f t="shared" si="40"/>
        <v>16.5</v>
      </c>
      <c r="BH28" s="70">
        <f t="shared" si="40"/>
        <v>5579.65</v>
      </c>
      <c r="BI28" s="70">
        <f t="shared" si="40"/>
        <v>7544.31</v>
      </c>
      <c r="BJ28" s="70">
        <f t="shared" si="40"/>
        <v>7544.31</v>
      </c>
      <c r="BK28" s="70">
        <f t="shared" si="40"/>
        <v>7544.31</v>
      </c>
      <c r="BL28" s="70">
        <f t="shared" si="40"/>
        <v>7544.31</v>
      </c>
    </row>
    <row r="29" spans="2:64" ht="13" thickTop="1">
      <c r="AU29">
        <v>0</v>
      </c>
    </row>
    <row r="31" spans="2:64" ht="13" customHeight="1">
      <c r="D31" s="211" t="s">
        <v>25</v>
      </c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</row>
    <row r="32" spans="2:64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4:57" ht="13">
      <c r="D33" s="58"/>
      <c r="E33" s="213" t="s">
        <v>22</v>
      </c>
      <c r="F33" s="213"/>
      <c r="G33" s="58"/>
      <c r="H33" s="213" t="s">
        <v>21</v>
      </c>
      <c r="I33" s="213"/>
      <c r="J33" s="213"/>
      <c r="K33" s="213"/>
      <c r="L33" s="57"/>
      <c r="M33" s="58" t="s">
        <v>23</v>
      </c>
      <c r="N33" s="57"/>
      <c r="O33" s="58" t="s">
        <v>24</v>
      </c>
      <c r="P33" s="57"/>
      <c r="S33" s="4"/>
      <c r="T33" s="4"/>
      <c r="U33" s="105" t="s">
        <v>96</v>
      </c>
      <c r="V33" s="4"/>
      <c r="W33" s="4"/>
      <c r="X33" s="4"/>
      <c r="Y33" s="105" t="s">
        <v>93</v>
      </c>
      <c r="Z33" s="4"/>
    </row>
    <row r="34" spans="4:57" ht="13">
      <c r="D34" s="4"/>
      <c r="E34" s="4" t="s">
        <v>20</v>
      </c>
      <c r="F34" s="4"/>
      <c r="G34" s="4"/>
      <c r="H34" s="214"/>
      <c r="I34" s="214"/>
      <c r="J34" s="214"/>
      <c r="K34" s="214"/>
      <c r="L34" s="4"/>
      <c r="M34" s="4"/>
      <c r="N34" s="4"/>
      <c r="O34" s="4"/>
      <c r="P34" s="4"/>
      <c r="S34" s="4"/>
      <c r="T34" s="4"/>
      <c r="U34" s="105" t="s">
        <v>97</v>
      </c>
      <c r="V34" s="4"/>
      <c r="W34" s="105" t="s">
        <v>98</v>
      </c>
      <c r="X34" s="4"/>
      <c r="Y34" s="105" t="s">
        <v>100</v>
      </c>
      <c r="Z34" s="4"/>
    </row>
    <row r="35" spans="4:57" ht="15.5">
      <c r="D35" s="4"/>
      <c r="E35" s="208" t="s">
        <v>70</v>
      </c>
      <c r="F35" s="209"/>
      <c r="G35" s="4" t="s">
        <v>53</v>
      </c>
      <c r="H35" s="4"/>
      <c r="I35" s="4"/>
      <c r="J35" s="4"/>
      <c r="K35" s="4"/>
      <c r="L35" s="39"/>
      <c r="M35" s="56">
        <f>O28</f>
        <v>7544.31</v>
      </c>
      <c r="N35" s="39" t="str">
        <f>IF(OR(M35="",M35=AV35),"","*")</f>
        <v/>
      </c>
      <c r="O35" s="4"/>
      <c r="P35" s="4"/>
      <c r="S35" s="4" t="s">
        <v>99</v>
      </c>
      <c r="T35" s="4"/>
      <c r="U35" s="185">
        <f>AP28</f>
        <v>7544.31</v>
      </c>
      <c r="V35" s="159" t="str">
        <f>IF(OR(U35="",U35=BC39),"","*")</f>
        <v/>
      </c>
      <c r="W35" s="186">
        <v>6.0000000000000001E-3</v>
      </c>
      <c r="X35" s="155" t="str">
        <f>IF(OR(W35="",W35=BD39),"","*")</f>
        <v/>
      </c>
      <c r="Y35" s="185">
        <f>U35*W35</f>
        <v>45.27</v>
      </c>
      <c r="Z35" s="155" t="str">
        <f>IF(OR(Y35="",Y35=BE39),"","*")</f>
        <v/>
      </c>
      <c r="AV35" s="56">
        <f>AX28</f>
        <v>7544.31</v>
      </c>
      <c r="AX35" s="4"/>
    </row>
    <row r="36" spans="4:57" ht="15">
      <c r="D36" s="4"/>
      <c r="E36" s="208"/>
      <c r="F36" s="209"/>
      <c r="G36" s="59"/>
      <c r="H36" s="4" t="s">
        <v>54</v>
      </c>
      <c r="I36" s="4"/>
      <c r="J36" s="4"/>
      <c r="K36" s="4"/>
      <c r="L36" s="39"/>
      <c r="M36" s="4"/>
      <c r="N36" s="39" t="s">
        <v>52</v>
      </c>
      <c r="O36" s="56">
        <f>Q28</f>
        <v>467.75</v>
      </c>
      <c r="P36" s="39" t="str">
        <f t="shared" ref="P36:P45" si="41">IF(OR(O36="",O36=AX36),"","*")</f>
        <v/>
      </c>
      <c r="S36" s="4"/>
      <c r="T36" s="4"/>
      <c r="U36" s="160"/>
      <c r="V36" s="4"/>
      <c r="W36" s="160"/>
      <c r="X36" s="4"/>
      <c r="Y36" s="161" t="s">
        <v>101</v>
      </c>
      <c r="Z36" s="4"/>
      <c r="AV36" s="4"/>
      <c r="AX36" s="56">
        <f>AY28</f>
        <v>467.75</v>
      </c>
    </row>
    <row r="37" spans="4:57" ht="15.5">
      <c r="D37" s="4"/>
      <c r="E37" s="4"/>
      <c r="F37" s="4"/>
      <c r="G37" s="59"/>
      <c r="H37" s="4" t="s">
        <v>55</v>
      </c>
      <c r="I37" s="4"/>
      <c r="J37" s="4"/>
      <c r="K37" s="4"/>
      <c r="L37" s="39"/>
      <c r="M37" s="4"/>
      <c r="N37" s="39" t="s">
        <v>52</v>
      </c>
      <c r="O37" s="56">
        <f>S28</f>
        <v>109.4</v>
      </c>
      <c r="P37" s="39" t="str">
        <f t="shared" si="41"/>
        <v/>
      </c>
      <c r="S37" s="4" t="s">
        <v>16</v>
      </c>
      <c r="T37" s="4"/>
      <c r="U37" s="185">
        <f>AR28</f>
        <v>7544.31</v>
      </c>
      <c r="V37" s="155" t="str">
        <f>IF(OR(U37="",U37=BC41),"","*")</f>
        <v/>
      </c>
      <c r="W37" s="199">
        <v>3.6784999999999998E-2</v>
      </c>
      <c r="X37" s="155" t="str">
        <f>IF(OR(W37="",W37=BD41),"","*")</f>
        <v/>
      </c>
      <c r="Y37" s="185">
        <f>U37*W37</f>
        <v>277.52</v>
      </c>
      <c r="Z37" s="155" t="str">
        <f>IF(OR(Y37="",Y37=BE41),"","*")</f>
        <v/>
      </c>
      <c r="AV37" s="4"/>
      <c r="AX37" s="56">
        <f>AZ28</f>
        <v>109.4</v>
      </c>
      <c r="BC37" s="140" t="s">
        <v>96</v>
      </c>
    </row>
    <row r="38" spans="4:57" ht="15">
      <c r="D38" s="4"/>
      <c r="E38" s="4"/>
      <c r="F38" s="4"/>
      <c r="G38" s="59"/>
      <c r="H38" s="4" t="s">
        <v>56</v>
      </c>
      <c r="I38" s="4"/>
      <c r="J38" s="4"/>
      <c r="K38" s="4"/>
      <c r="L38" s="39"/>
      <c r="M38" s="4"/>
      <c r="N38" s="39" t="s">
        <v>52</v>
      </c>
      <c r="O38" s="56">
        <f>U28</f>
        <v>461</v>
      </c>
      <c r="P38" s="39" t="str">
        <f t="shared" si="41"/>
        <v/>
      </c>
      <c r="AV38" s="4"/>
      <c r="AX38" s="56">
        <f>BA28</f>
        <v>461</v>
      </c>
      <c r="BC38" s="140" t="s">
        <v>102</v>
      </c>
      <c r="BD38" s="140" t="s">
        <v>98</v>
      </c>
      <c r="BE38" s="140" t="s">
        <v>99</v>
      </c>
    </row>
    <row r="39" spans="4:57" ht="15">
      <c r="D39" s="4"/>
      <c r="E39" s="4"/>
      <c r="F39" s="4"/>
      <c r="G39" s="4"/>
      <c r="H39" s="4" t="s">
        <v>57</v>
      </c>
      <c r="I39" s="4"/>
      <c r="J39" s="4"/>
      <c r="K39" s="4"/>
      <c r="L39" s="39"/>
      <c r="M39" s="4"/>
      <c r="N39" s="4"/>
      <c r="O39" s="56">
        <f>W28</f>
        <v>231.61</v>
      </c>
      <c r="P39" s="39" t="str">
        <f t="shared" si="41"/>
        <v/>
      </c>
      <c r="AV39" s="4"/>
      <c r="AX39" s="56">
        <f>BB28</f>
        <v>231.61</v>
      </c>
      <c r="BC39" s="158">
        <f>BK28</f>
        <v>7544.31</v>
      </c>
      <c r="BD39">
        <f>0.006</f>
        <v>6.0000000000000001E-3</v>
      </c>
      <c r="BE39" s="158">
        <f>BC39*BD39</f>
        <v>45.27</v>
      </c>
    </row>
    <row r="40" spans="4:57" ht="15">
      <c r="D40" s="4"/>
      <c r="E40" s="208"/>
      <c r="F40" s="209"/>
      <c r="G40" s="59"/>
      <c r="H40" s="4" t="s">
        <v>58</v>
      </c>
      <c r="I40" s="4"/>
      <c r="J40" s="4"/>
      <c r="K40" s="4"/>
      <c r="L40" s="39"/>
      <c r="M40" s="4"/>
      <c r="N40" s="39" t="s">
        <v>52</v>
      </c>
      <c r="O40" s="56">
        <f>Y28</f>
        <v>5.29</v>
      </c>
      <c r="P40" s="39" t="str">
        <f t="shared" si="41"/>
        <v/>
      </c>
      <c r="AV40" s="4"/>
      <c r="AX40" s="56">
        <f>BC28</f>
        <v>5.29</v>
      </c>
      <c r="BE40" s="140" t="s">
        <v>16</v>
      </c>
    </row>
    <row r="41" spans="4:57" ht="15">
      <c r="D41" s="4"/>
      <c r="E41" s="4"/>
      <c r="F41" s="4"/>
      <c r="G41" s="59"/>
      <c r="H41" s="4" t="s">
        <v>59</v>
      </c>
      <c r="I41" s="4"/>
      <c r="J41" s="4"/>
      <c r="K41" s="4"/>
      <c r="L41" s="39"/>
      <c r="M41" s="4"/>
      <c r="N41" s="39" t="s">
        <v>52</v>
      </c>
      <c r="O41" s="56">
        <f>AA28</f>
        <v>226.31</v>
      </c>
      <c r="P41" s="39" t="str">
        <f t="shared" si="41"/>
        <v/>
      </c>
      <c r="AV41" s="4"/>
      <c r="AX41" s="56">
        <f>BD28</f>
        <v>226.31</v>
      </c>
      <c r="BC41" s="158">
        <f>BL28</f>
        <v>7544.31</v>
      </c>
      <c r="BD41">
        <f>0.036785</f>
        <v>3.6784999999999998E-2</v>
      </c>
      <c r="BE41" s="158">
        <f>BC41*BD41</f>
        <v>277.52</v>
      </c>
    </row>
    <row r="42" spans="4:57" ht="15">
      <c r="D42" s="4"/>
      <c r="E42" s="4"/>
      <c r="F42" s="4"/>
      <c r="G42" s="59"/>
      <c r="H42" s="4" t="s">
        <v>60</v>
      </c>
      <c r="I42" s="4"/>
      <c r="J42" s="4"/>
      <c r="K42" s="4"/>
      <c r="L42" s="39"/>
      <c r="M42" s="4"/>
      <c r="N42" s="39" t="s">
        <v>52</v>
      </c>
      <c r="O42" s="56">
        <f>AC28</f>
        <v>440</v>
      </c>
      <c r="P42" s="39" t="str">
        <f t="shared" si="41"/>
        <v/>
      </c>
      <c r="AV42" s="4"/>
      <c r="AX42" s="56">
        <f>AC28</f>
        <v>440</v>
      </c>
    </row>
    <row r="43" spans="4:57" ht="15">
      <c r="D43" s="4"/>
      <c r="E43" s="4"/>
      <c r="F43" s="4"/>
      <c r="G43" s="4"/>
      <c r="H43" s="4" t="s">
        <v>61</v>
      </c>
      <c r="I43" s="4"/>
      <c r="J43" s="4"/>
      <c r="K43" s="4"/>
      <c r="L43" s="39"/>
      <c r="M43" s="4"/>
      <c r="N43" s="4"/>
      <c r="O43" s="56">
        <f>AE28</f>
        <v>6.8</v>
      </c>
      <c r="P43" s="39" t="str">
        <f t="shared" si="41"/>
        <v/>
      </c>
      <c r="AV43" s="4"/>
      <c r="AX43" s="56">
        <f>BF28</f>
        <v>6.8</v>
      </c>
    </row>
    <row r="44" spans="4:57" ht="15">
      <c r="D44" s="4"/>
      <c r="E44" s="4"/>
      <c r="F44" s="4"/>
      <c r="G44" s="4"/>
      <c r="H44" s="4" t="s">
        <v>62</v>
      </c>
      <c r="I44" s="4"/>
      <c r="J44" s="4"/>
      <c r="K44" s="4"/>
      <c r="L44" s="39"/>
      <c r="M44" s="4"/>
      <c r="N44" s="39" t="s">
        <v>52</v>
      </c>
      <c r="O44" s="56">
        <f>AG28</f>
        <v>16.5</v>
      </c>
      <c r="P44" s="39" t="str">
        <f t="shared" si="41"/>
        <v/>
      </c>
      <c r="AV44" s="4"/>
      <c r="AX44" s="56">
        <f>BG28</f>
        <v>16.5</v>
      </c>
    </row>
    <row r="45" spans="4:57" ht="15">
      <c r="D45" s="4"/>
      <c r="E45" s="4"/>
      <c r="F45" s="4"/>
      <c r="G45" s="4"/>
      <c r="H45" s="4" t="s">
        <v>63</v>
      </c>
      <c r="I45" s="4"/>
      <c r="J45" s="4"/>
      <c r="K45" s="4"/>
      <c r="L45" s="39"/>
      <c r="M45" s="4"/>
      <c r="N45" s="4"/>
      <c r="O45" s="56">
        <f>AJ28</f>
        <v>5579.65</v>
      </c>
      <c r="P45" s="39" t="str">
        <f t="shared" si="41"/>
        <v/>
      </c>
      <c r="AV45" s="4"/>
      <c r="AX45" s="56">
        <f>AJ28</f>
        <v>5579.65</v>
      </c>
    </row>
    <row r="46" spans="4:57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AV46" s="4"/>
      <c r="AX46" s="4"/>
    </row>
    <row r="47" spans="4:57" ht="15">
      <c r="D47" s="4"/>
      <c r="E47" s="210" t="s">
        <v>71</v>
      </c>
      <c r="F47" s="209"/>
      <c r="G47" s="4" t="s">
        <v>67</v>
      </c>
      <c r="H47" s="4"/>
      <c r="I47" s="4"/>
      <c r="J47" s="4"/>
      <c r="K47" s="4"/>
      <c r="L47" s="39"/>
      <c r="M47" s="56">
        <f>SUM(O48:O51)</f>
        <v>899.93</v>
      </c>
      <c r="N47" s="39" t="str">
        <f>IF(OR(M47="",M47=AV47),"","*")</f>
        <v/>
      </c>
      <c r="O47" s="4"/>
      <c r="P47" s="4"/>
      <c r="AV47" s="56">
        <f>SUM(AX48:AX51)</f>
        <v>899.93</v>
      </c>
      <c r="AX47" s="4"/>
    </row>
    <row r="48" spans="4:57" ht="15">
      <c r="D48" s="4"/>
      <c r="E48" s="4"/>
      <c r="F48" s="4"/>
      <c r="G48" s="59"/>
      <c r="H48" s="4" t="s">
        <v>143</v>
      </c>
      <c r="I48" s="4"/>
      <c r="J48" s="4"/>
      <c r="K48" s="4"/>
      <c r="L48" s="39"/>
      <c r="M48" s="4"/>
      <c r="N48" s="39" t="s">
        <v>52</v>
      </c>
      <c r="O48" s="56">
        <f>AL28*0.062</f>
        <v>467.75</v>
      </c>
      <c r="P48" s="39" t="str">
        <f>IF(OR(O48="",O48=AX48),"","*")</f>
        <v/>
      </c>
      <c r="AV48" s="4"/>
      <c r="AX48" s="56">
        <f>BI28*0.062</f>
        <v>467.75</v>
      </c>
    </row>
    <row r="49" spans="4:50" ht="15">
      <c r="D49" s="4"/>
      <c r="E49" s="4"/>
      <c r="F49" s="4"/>
      <c r="G49" s="59"/>
      <c r="H49" s="4" t="s">
        <v>144</v>
      </c>
      <c r="I49" s="4"/>
      <c r="J49" s="4"/>
      <c r="K49" s="4"/>
      <c r="L49" s="39"/>
      <c r="M49" s="4"/>
      <c r="N49" s="39" t="s">
        <v>52</v>
      </c>
      <c r="O49" s="56">
        <f>AN28*0.0145</f>
        <v>109.39</v>
      </c>
      <c r="P49" s="39" t="str">
        <f>IF(OR(O49="",O49=AX49),"","*")</f>
        <v/>
      </c>
      <c r="AV49" s="4"/>
      <c r="AX49" s="56">
        <f>BJ28*0.0145</f>
        <v>109.39</v>
      </c>
    </row>
    <row r="50" spans="4:50" ht="15">
      <c r="D50" s="4"/>
      <c r="E50" s="4"/>
      <c r="F50" s="4"/>
      <c r="G50" s="59"/>
      <c r="H50" s="4" t="s">
        <v>68</v>
      </c>
      <c r="I50" s="4"/>
      <c r="J50" s="4"/>
      <c r="K50" s="4"/>
      <c r="L50" s="39"/>
      <c r="M50" s="4"/>
      <c r="N50" s="39" t="s">
        <v>52</v>
      </c>
      <c r="O50" s="56">
        <f>Y35</f>
        <v>45.27</v>
      </c>
      <c r="P50" s="39" t="str">
        <f>IF(OR(O50="",O50=AX50),"","*")</f>
        <v/>
      </c>
      <c r="AV50" s="4"/>
      <c r="AX50" s="56">
        <f>BE39</f>
        <v>45.27</v>
      </c>
    </row>
    <row r="51" spans="4:50" ht="15">
      <c r="D51" s="4"/>
      <c r="E51" s="4"/>
      <c r="F51" s="4"/>
      <c r="G51" s="4"/>
      <c r="H51" s="4" t="s">
        <v>69</v>
      </c>
      <c r="I51" s="4"/>
      <c r="J51" s="4"/>
      <c r="K51" s="4"/>
      <c r="L51" s="39"/>
      <c r="M51" s="4"/>
      <c r="N51" s="4"/>
      <c r="O51" s="56">
        <f>Y37</f>
        <v>277.52</v>
      </c>
      <c r="P51" s="39" t="str">
        <f>IF(OR(O51="",O51=AX51),"","*")</f>
        <v/>
      </c>
      <c r="AV51" s="4"/>
      <c r="AX51" s="56">
        <f>BE41</f>
        <v>277.52</v>
      </c>
    </row>
    <row r="52" spans="4:50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AV52" s="4"/>
      <c r="AX52" s="4"/>
    </row>
    <row r="53" spans="4:50" ht="15">
      <c r="D53" s="4"/>
      <c r="E53" s="210" t="s">
        <v>64</v>
      </c>
      <c r="F53" s="209"/>
      <c r="G53" s="4" t="s">
        <v>65</v>
      </c>
      <c r="H53" s="4"/>
      <c r="I53" s="4"/>
      <c r="J53" s="4"/>
      <c r="K53" s="4"/>
      <c r="L53" s="39"/>
      <c r="M53" s="56">
        <f>O45</f>
        <v>5579.65</v>
      </c>
      <c r="N53" s="39" t="str">
        <f>IF(OR(M53="",M53=AV53),"","*")</f>
        <v/>
      </c>
      <c r="O53" s="4"/>
      <c r="P53" s="4"/>
      <c r="AV53" s="56">
        <f>AJ28</f>
        <v>5579.65</v>
      </c>
      <c r="AX53" s="4"/>
    </row>
    <row r="54" spans="4:50" ht="15">
      <c r="D54" s="4"/>
      <c r="E54" s="4"/>
      <c r="F54" s="4"/>
      <c r="G54" s="59"/>
      <c r="H54" s="4" t="s">
        <v>66</v>
      </c>
      <c r="I54" s="4"/>
      <c r="J54" s="4"/>
      <c r="K54" s="4"/>
      <c r="L54" s="39"/>
      <c r="M54" s="4"/>
      <c r="N54" s="39" t="s">
        <v>52</v>
      </c>
      <c r="O54" s="56">
        <f>AJ28</f>
        <v>5579.65</v>
      </c>
      <c r="P54" s="39" t="str">
        <f>IF(OR(O54="",O54=AX54),"","*")</f>
        <v/>
      </c>
      <c r="AV54" s="4"/>
      <c r="AX54" s="56">
        <f>AJ28</f>
        <v>5579.65</v>
      </c>
    </row>
    <row r="55" spans="4:50"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4:50">
      <c r="D56" t="s">
        <v>146</v>
      </c>
    </row>
    <row r="57" spans="4:50">
      <c r="D57" t="s">
        <v>145</v>
      </c>
    </row>
  </sheetData>
  <sheetProtection password="F4C4" sheet="1" objects="1" scenarios="1"/>
  <mergeCells count="33">
    <mergeCell ref="E12:I12"/>
    <mergeCell ref="Q14:AG14"/>
    <mergeCell ref="AI14:AK14"/>
    <mergeCell ref="B8:AS8"/>
    <mergeCell ref="B9:AK9"/>
    <mergeCell ref="B10:AK10"/>
    <mergeCell ref="B11:AS11"/>
    <mergeCell ref="F14:F17"/>
    <mergeCell ref="C1:L1"/>
    <mergeCell ref="AL14:AS14"/>
    <mergeCell ref="G15:G17"/>
    <mergeCell ref="H15:H17"/>
    <mergeCell ref="K15:K17"/>
    <mergeCell ref="L15:L17"/>
    <mergeCell ref="Q15:S15"/>
    <mergeCell ref="AG17:AH17"/>
    <mergeCell ref="G14:J14"/>
    <mergeCell ref="K14:N14"/>
    <mergeCell ref="B16:D16"/>
    <mergeCell ref="Q16:S16"/>
    <mergeCell ref="AE16:AF16"/>
    <mergeCell ref="B17:D17"/>
    <mergeCell ref="AE17:AF17"/>
    <mergeCell ref="E14:E17"/>
    <mergeCell ref="E36:F36"/>
    <mergeCell ref="E40:F40"/>
    <mergeCell ref="E47:F47"/>
    <mergeCell ref="E53:F53"/>
    <mergeCell ref="D31:P31"/>
    <mergeCell ref="H33:K33"/>
    <mergeCell ref="H34:K34"/>
    <mergeCell ref="E35:F35"/>
    <mergeCell ref="E33:F33"/>
  </mergeCells>
  <phoneticPr fontId="0" type="noConversion"/>
  <pageMargins left="0.57999999999999996" right="0.67" top="1" bottom="1" header="0.5" footer="0.5"/>
  <pageSetup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L55"/>
  <sheetViews>
    <sheetView showGridLines="0" workbookViewId="0">
      <selection activeCell="U18" sqref="U18"/>
    </sheetView>
  </sheetViews>
  <sheetFormatPr defaultRowHeight="12.5"/>
  <cols>
    <col min="1" max="1" width="1.81640625" customWidth="1"/>
    <col min="2" max="3" width="9.7265625" customWidth="1"/>
    <col min="4" max="4" width="2.7265625" customWidth="1"/>
    <col min="5" max="5" width="5.26953125" customWidth="1"/>
    <col min="6" max="7" width="5.453125" customWidth="1"/>
    <col min="9" max="9" width="10.7265625" customWidth="1"/>
    <col min="10" max="10" width="2.26953125" customWidth="1"/>
    <col min="11" max="11" width="5.453125" customWidth="1"/>
    <col min="13" max="13" width="10.7265625" customWidth="1"/>
    <col min="14" max="14" width="2.26953125" customWidth="1"/>
    <col min="15" max="15" width="10.7265625" customWidth="1"/>
    <col min="16" max="16" width="2.26953125" customWidth="1"/>
    <col min="17" max="17" width="9.26953125" customWidth="1"/>
    <col min="18" max="18" width="2.26953125" customWidth="1"/>
    <col min="20" max="20" width="2.26953125" customWidth="1"/>
    <col min="21" max="21" width="9.26953125" bestFit="1" customWidth="1"/>
    <col min="22" max="22" width="2.26953125" customWidth="1"/>
    <col min="23" max="23" width="10.6328125" bestFit="1" customWidth="1"/>
    <col min="24" max="24" width="2.26953125" customWidth="1"/>
    <col min="26" max="26" width="2.26953125" customWidth="1"/>
    <col min="28" max="28" width="2.26953125" customWidth="1"/>
    <col min="30" max="30" width="2.26953125" customWidth="1"/>
    <col min="31" max="31" width="9.26953125" customWidth="1"/>
    <col min="32" max="32" width="2.26953125" customWidth="1"/>
    <col min="34" max="34" width="2.26953125" customWidth="1"/>
    <col min="35" max="35" width="6.7265625" customWidth="1"/>
    <col min="36" max="36" width="10.7265625" customWidth="1"/>
    <col min="37" max="37" width="2.26953125" customWidth="1"/>
    <col min="38" max="38" width="9.90625" customWidth="1"/>
    <col min="39" max="39" width="2.26953125" customWidth="1"/>
    <col min="40" max="40" width="9.90625" customWidth="1"/>
    <col min="41" max="41" width="2.26953125" customWidth="1"/>
    <col min="42" max="42" width="9.90625" customWidth="1"/>
    <col min="43" max="43" width="2.26953125" customWidth="1"/>
    <col min="44" max="44" width="9.90625" customWidth="1"/>
    <col min="45" max="45" width="2.26953125" customWidth="1"/>
    <col min="46" max="46" width="10.7265625" hidden="1" customWidth="1"/>
    <col min="47" max="47" width="9.1796875" hidden="1" customWidth="1"/>
    <col min="48" max="51" width="10.7265625" hidden="1" customWidth="1"/>
    <col min="52" max="55" width="9.1796875" hidden="1" customWidth="1"/>
    <col min="56" max="56" width="10.7265625" hidden="1" customWidth="1"/>
    <col min="57" max="64" width="9.1796875" hidden="1" customWidth="1"/>
  </cols>
  <sheetData>
    <row r="1" spans="2:64" ht="12.75" customHeight="1">
      <c r="B1" s="2" t="s">
        <v>17</v>
      </c>
      <c r="C1" s="215" t="s">
        <v>72</v>
      </c>
      <c r="D1" s="215"/>
      <c r="E1" s="215"/>
      <c r="F1" s="215"/>
      <c r="G1" s="215"/>
      <c r="H1" s="215"/>
      <c r="I1" s="215"/>
      <c r="J1" s="215"/>
      <c r="K1" s="215"/>
      <c r="L1" s="215"/>
    </row>
    <row r="2" spans="2:64" ht="12.75" customHeight="1"/>
    <row r="3" spans="2:64" ht="13">
      <c r="B3" s="75" t="s">
        <v>149</v>
      </c>
    </row>
    <row r="4" spans="2:64">
      <c r="B4" s="8" t="s">
        <v>19</v>
      </c>
      <c r="C4" s="8"/>
      <c r="D4" s="8"/>
    </row>
    <row r="5" spans="2:64" ht="13">
      <c r="B5" s="75" t="s">
        <v>157</v>
      </c>
      <c r="C5" s="75"/>
      <c r="D5" s="8"/>
    </row>
    <row r="7" spans="2:64" ht="13">
      <c r="B7" s="6" t="s">
        <v>74</v>
      </c>
      <c r="C7" s="6"/>
      <c r="D7" s="7"/>
    </row>
    <row r="8" spans="2:64" ht="13">
      <c r="B8" s="214" t="s">
        <v>41</v>
      </c>
      <c r="C8" s="214"/>
      <c r="D8" s="214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1"/>
    </row>
    <row r="9" spans="2:64" ht="12.5" customHeight="1">
      <c r="B9" s="244"/>
      <c r="C9" s="244"/>
      <c r="D9" s="244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4"/>
      <c r="AM9" s="4"/>
      <c r="AN9" s="4"/>
      <c r="AO9" s="4"/>
      <c r="AP9" s="4"/>
      <c r="AQ9" s="4"/>
      <c r="AR9" s="4"/>
      <c r="AS9" s="4"/>
      <c r="AT9" s="1"/>
    </row>
    <row r="10" spans="2:64" ht="12.75" customHeight="1">
      <c r="B10" s="244"/>
      <c r="C10" s="244"/>
      <c r="D10" s="244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4"/>
      <c r="AM10" s="4"/>
      <c r="AN10" s="4"/>
      <c r="AO10" s="4"/>
      <c r="AP10" s="4"/>
      <c r="AQ10" s="4"/>
      <c r="AR10" s="4"/>
      <c r="AS10" s="4"/>
      <c r="AT10" s="1"/>
    </row>
    <row r="11" spans="2:64" ht="13" customHeight="1">
      <c r="B11" s="246" t="s">
        <v>7</v>
      </c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1"/>
    </row>
    <row r="12" spans="2:64" ht="12.5" customHeight="1">
      <c r="B12" s="40" t="s">
        <v>18</v>
      </c>
      <c r="C12" s="40"/>
      <c r="D12" s="40"/>
      <c r="E12" s="239" t="s">
        <v>42</v>
      </c>
      <c r="F12" s="240"/>
      <c r="G12" s="240"/>
      <c r="H12" s="240"/>
      <c r="I12" s="240"/>
      <c r="J12" s="12"/>
      <c r="K12" s="12"/>
      <c r="L12" s="12"/>
      <c r="M12" s="12"/>
      <c r="N12" s="22"/>
      <c r="O12" s="12"/>
      <c r="P12" s="12"/>
      <c r="Q12" s="12"/>
      <c r="R12" s="12"/>
      <c r="S12" s="12"/>
      <c r="T12" s="12"/>
      <c r="U12" s="13"/>
      <c r="V12" s="13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4"/>
      <c r="AM12" s="4"/>
      <c r="AN12" s="4"/>
      <c r="AO12" s="4"/>
      <c r="AP12" s="4"/>
      <c r="AQ12" s="4"/>
      <c r="AR12" s="4"/>
      <c r="AS12" s="4"/>
      <c r="AT12" s="1"/>
    </row>
    <row r="13" spans="2:64" ht="13" thickBo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96"/>
    </row>
    <row r="14" spans="2:64" ht="13" customHeight="1" thickTop="1">
      <c r="B14" s="15"/>
      <c r="C14" s="16"/>
      <c r="D14" s="54"/>
      <c r="E14" s="237" t="s">
        <v>10</v>
      </c>
      <c r="F14" s="247" t="s">
        <v>11</v>
      </c>
      <c r="G14" s="216" t="s">
        <v>37</v>
      </c>
      <c r="H14" s="218"/>
      <c r="I14" s="218"/>
      <c r="J14" s="219"/>
      <c r="K14" s="216" t="s">
        <v>43</v>
      </c>
      <c r="L14" s="218"/>
      <c r="M14" s="218"/>
      <c r="N14" s="219"/>
      <c r="O14" s="49"/>
      <c r="P14" s="43"/>
      <c r="Q14" s="241" t="s">
        <v>6</v>
      </c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7"/>
      <c r="AI14" s="216" t="s">
        <v>48</v>
      </c>
      <c r="AJ14" s="242"/>
      <c r="AK14" s="243"/>
      <c r="AL14" s="216" t="s">
        <v>51</v>
      </c>
      <c r="AM14" s="217"/>
      <c r="AN14" s="217"/>
      <c r="AO14" s="217"/>
      <c r="AP14" s="217"/>
      <c r="AQ14" s="218"/>
      <c r="AR14" s="218"/>
      <c r="AS14" s="219"/>
      <c r="AT14" s="97"/>
      <c r="AY14" t="s">
        <v>0</v>
      </c>
      <c r="AZ14" t="s">
        <v>1</v>
      </c>
      <c r="BA14" t="s">
        <v>3</v>
      </c>
      <c r="BB14" t="s">
        <v>4</v>
      </c>
      <c r="BC14" t="s">
        <v>16</v>
      </c>
      <c r="BD14" t="s">
        <v>5</v>
      </c>
      <c r="BE14" t="s">
        <v>44</v>
      </c>
      <c r="BF14" t="s">
        <v>136</v>
      </c>
      <c r="BG14" t="s">
        <v>46</v>
      </c>
      <c r="BH14" t="s">
        <v>138</v>
      </c>
    </row>
    <row r="15" spans="2:64" ht="12.5" customHeight="1">
      <c r="B15" s="17"/>
      <c r="C15" s="10"/>
      <c r="D15" s="55"/>
      <c r="E15" s="238"/>
      <c r="F15" s="248"/>
      <c r="G15" s="220" t="s">
        <v>38</v>
      </c>
      <c r="H15" s="223" t="s">
        <v>39</v>
      </c>
      <c r="I15" s="9"/>
      <c r="J15" s="63"/>
      <c r="K15" s="220" t="s">
        <v>38</v>
      </c>
      <c r="L15" s="223" t="s">
        <v>39</v>
      </c>
      <c r="M15" s="9"/>
      <c r="N15" s="63"/>
      <c r="O15" s="41"/>
      <c r="P15" s="44"/>
      <c r="Q15" s="226"/>
      <c r="R15" s="226"/>
      <c r="S15" s="226"/>
      <c r="T15" s="32"/>
      <c r="U15" s="24"/>
      <c r="V15" s="28"/>
      <c r="W15" s="24"/>
      <c r="X15" s="28"/>
      <c r="Y15" s="33"/>
      <c r="Z15" s="33"/>
      <c r="AA15" s="24"/>
      <c r="AB15" s="28"/>
      <c r="AC15" s="24"/>
      <c r="AD15" s="28"/>
      <c r="AE15" s="33"/>
      <c r="AF15" s="33"/>
      <c r="AG15" s="24"/>
      <c r="AH15" s="28"/>
      <c r="AI15" s="87"/>
      <c r="AJ15" s="11"/>
      <c r="AK15" s="23"/>
      <c r="AL15" s="24"/>
      <c r="AM15" s="28"/>
      <c r="AN15" s="24"/>
      <c r="AO15" s="28"/>
      <c r="AP15" s="24"/>
      <c r="AQ15" s="28"/>
      <c r="AR15" s="24"/>
      <c r="AS15" s="28"/>
      <c r="AT15" s="98"/>
      <c r="AY15">
        <v>6.2E-2</v>
      </c>
      <c r="AZ15">
        <v>1.4500000000000001E-2</v>
      </c>
      <c r="BB15">
        <v>3.0700000000000002E-2</v>
      </c>
      <c r="BC15">
        <v>6.9999999999999999E-4</v>
      </c>
      <c r="BD15">
        <v>0.03</v>
      </c>
      <c r="BF15" t="s">
        <v>137</v>
      </c>
      <c r="BG15" t="s">
        <v>137</v>
      </c>
      <c r="BH15" t="s">
        <v>139</v>
      </c>
      <c r="BI15" t="s">
        <v>0</v>
      </c>
      <c r="BJ15" t="s">
        <v>1</v>
      </c>
      <c r="BK15" t="s">
        <v>15</v>
      </c>
      <c r="BL15" t="s">
        <v>16</v>
      </c>
    </row>
    <row r="16" spans="2:64">
      <c r="B16" s="229"/>
      <c r="C16" s="230"/>
      <c r="D16" s="231"/>
      <c r="E16" s="238"/>
      <c r="F16" s="248"/>
      <c r="G16" s="221"/>
      <c r="H16" s="224"/>
      <c r="I16" s="11"/>
      <c r="J16" s="23"/>
      <c r="K16" s="221"/>
      <c r="L16" s="224"/>
      <c r="M16" s="11"/>
      <c r="N16" s="23"/>
      <c r="O16" s="42" t="s">
        <v>12</v>
      </c>
      <c r="P16" s="45"/>
      <c r="Q16" s="232" t="s">
        <v>2</v>
      </c>
      <c r="R16" s="232"/>
      <c r="S16" s="232"/>
      <c r="T16" s="33"/>
      <c r="U16" s="24"/>
      <c r="V16" s="29"/>
      <c r="W16" s="24"/>
      <c r="X16" s="29"/>
      <c r="Y16" s="33"/>
      <c r="Z16" s="33"/>
      <c r="AA16" s="24"/>
      <c r="AB16" s="29"/>
      <c r="AC16" s="24"/>
      <c r="AD16" s="29"/>
      <c r="AE16" s="233" t="s">
        <v>47</v>
      </c>
      <c r="AF16" s="234"/>
      <c r="AG16" s="86" t="s">
        <v>46</v>
      </c>
      <c r="AH16" s="29"/>
      <c r="AI16" s="88" t="s">
        <v>49</v>
      </c>
      <c r="AJ16" s="11"/>
      <c r="AK16" s="23"/>
      <c r="AL16" s="24"/>
      <c r="AM16" s="29"/>
      <c r="AN16" s="24"/>
      <c r="AO16" s="29"/>
      <c r="AP16" s="24"/>
      <c r="AQ16" s="29"/>
      <c r="AR16" s="24"/>
      <c r="AS16" s="29"/>
      <c r="AT16" s="98"/>
      <c r="AU16" t="s">
        <v>147</v>
      </c>
      <c r="AV16" t="s">
        <v>148</v>
      </c>
      <c r="AX16" t="s">
        <v>141</v>
      </c>
      <c r="BI16">
        <v>6.2E-2</v>
      </c>
      <c r="BJ16">
        <v>1.4500000000000001E-2</v>
      </c>
      <c r="BK16">
        <v>6.0000000000000001E-3</v>
      </c>
      <c r="BL16">
        <v>3.6784999999999998E-2</v>
      </c>
    </row>
    <row r="17" spans="2:64" ht="17" customHeight="1">
      <c r="B17" s="235" t="s">
        <v>26</v>
      </c>
      <c r="C17" s="232"/>
      <c r="D17" s="236"/>
      <c r="E17" s="238"/>
      <c r="F17" s="248"/>
      <c r="G17" s="222"/>
      <c r="H17" s="225"/>
      <c r="I17" s="72" t="s">
        <v>40</v>
      </c>
      <c r="J17" s="64"/>
      <c r="K17" s="222"/>
      <c r="L17" s="225"/>
      <c r="M17" s="72" t="s">
        <v>40</v>
      </c>
      <c r="N17" s="64"/>
      <c r="O17" s="93" t="s">
        <v>13</v>
      </c>
      <c r="P17" s="46"/>
      <c r="Q17" s="81" t="s">
        <v>0</v>
      </c>
      <c r="R17" s="82"/>
      <c r="S17" s="83" t="s">
        <v>1</v>
      </c>
      <c r="T17" s="34"/>
      <c r="U17" s="85" t="s">
        <v>3</v>
      </c>
      <c r="V17" s="31"/>
      <c r="W17" s="72" t="s">
        <v>4</v>
      </c>
      <c r="X17" s="29"/>
      <c r="Y17" s="72" t="s">
        <v>16</v>
      </c>
      <c r="Z17" s="30"/>
      <c r="AA17" s="85" t="s">
        <v>5</v>
      </c>
      <c r="AB17" s="29"/>
      <c r="AC17" s="85" t="s">
        <v>44</v>
      </c>
      <c r="AD17" s="29"/>
      <c r="AE17" s="227" t="s">
        <v>45</v>
      </c>
      <c r="AF17" s="228"/>
      <c r="AG17" s="227" t="s">
        <v>45</v>
      </c>
      <c r="AH17" s="228"/>
      <c r="AI17" s="89" t="s">
        <v>50</v>
      </c>
      <c r="AJ17" s="84" t="s">
        <v>40</v>
      </c>
      <c r="AK17" s="21"/>
      <c r="AL17" s="85" t="s">
        <v>0</v>
      </c>
      <c r="AM17" s="29"/>
      <c r="AN17" s="85" t="s">
        <v>1</v>
      </c>
      <c r="AO17" s="29"/>
      <c r="AP17" s="85" t="s">
        <v>15</v>
      </c>
      <c r="AQ17" s="29"/>
      <c r="AR17" s="85" t="s">
        <v>16</v>
      </c>
      <c r="AS17" s="29"/>
      <c r="AT17" s="98"/>
      <c r="AU17" t="s">
        <v>142</v>
      </c>
      <c r="AV17" t="s">
        <v>142</v>
      </c>
      <c r="AX17" t="s">
        <v>142</v>
      </c>
    </row>
    <row r="18" spans="2:64" ht="15">
      <c r="B18" s="60" t="s">
        <v>27</v>
      </c>
      <c r="C18" s="102"/>
      <c r="D18" s="20"/>
      <c r="E18" s="194"/>
      <c r="F18" s="194"/>
      <c r="G18" s="180">
        <v>40</v>
      </c>
      <c r="H18" s="181">
        <v>17.5</v>
      </c>
      <c r="I18" s="106">
        <f>G18*H18</f>
        <v>700</v>
      </c>
      <c r="J18" s="35" t="str">
        <f t="shared" ref="J18:J28" si="0">IF(OR(I18="",I18=AU18),"","*")</f>
        <v/>
      </c>
      <c r="K18" s="182"/>
      <c r="L18" s="183"/>
      <c r="M18" s="184">
        <f t="shared" ref="M18:M23" si="1">K18*L18</f>
        <v>0</v>
      </c>
      <c r="N18" s="35" t="str">
        <f t="shared" ref="N18:N28" si="2">IF(OR(M18="",M18=AV18),"","*")</f>
        <v/>
      </c>
      <c r="O18" s="107">
        <f t="shared" ref="O18:O27" si="3">I18+M18</f>
        <v>700</v>
      </c>
      <c r="P18" s="35" t="str">
        <f t="shared" ref="P18:P28" si="4">IF(OR(O18="",O18=AX18),"","*")</f>
        <v/>
      </c>
      <c r="Q18" s="133"/>
      <c r="R18" s="35" t="str">
        <f t="shared" ref="R18:R28" si="5">IF(OR(Q18="",Q18=AY18),"","*")</f>
        <v/>
      </c>
      <c r="S18" s="134"/>
      <c r="T18" s="35" t="str">
        <f t="shared" ref="T18:T28" si="6">IF(OR(S18="",S18=AZ18),"","*")</f>
        <v/>
      </c>
      <c r="U18" s="107"/>
      <c r="V18" s="35" t="str">
        <f t="shared" ref="V18:V28" si="7">IF(OR(U18="",U18=BA18),"","*")</f>
        <v/>
      </c>
      <c r="W18" s="134"/>
      <c r="X18" s="35" t="str">
        <f t="shared" ref="X18:X28" si="8">IF(OR(W18="",W18=BB18),"","*")</f>
        <v/>
      </c>
      <c r="Y18" s="134"/>
      <c r="Z18" s="35" t="str">
        <f t="shared" ref="Z18:Z28" si="9">IF(OR(Y18="",Y18=BC18),"","*")</f>
        <v/>
      </c>
      <c r="AA18" s="134"/>
      <c r="AB18" s="35" t="str">
        <f t="shared" ref="AB18:AB28" si="10">IF(OR(AA18="",AA18=BD18),"","*")</f>
        <v/>
      </c>
      <c r="AC18" s="134"/>
      <c r="AD18" s="35" t="str">
        <f t="shared" ref="AD18:AD28" si="11">IF(OR(AC18="",AC18=BE18),"","*")</f>
        <v/>
      </c>
      <c r="AE18" s="134"/>
      <c r="AF18" s="35" t="str">
        <f t="shared" ref="AF18:AF28" si="12">IF(OR(AE18="",AE18=BF18),"","*")</f>
        <v/>
      </c>
      <c r="AG18" s="134"/>
      <c r="AH18" s="35" t="str">
        <f t="shared" ref="AH18:AH28" si="13">IF(OR(AG18="",AG18=BG18),"","*")</f>
        <v/>
      </c>
      <c r="AI18" s="104">
        <v>313</v>
      </c>
      <c r="AJ18" s="162"/>
      <c r="AK18" s="35" t="str">
        <f t="shared" ref="AK18:AK28" si="14">IF(OR(AJ18="",AJ18=BH18),"","*")</f>
        <v/>
      </c>
      <c r="AL18" s="134"/>
      <c r="AM18" s="35" t="str">
        <f t="shared" ref="AM18:AM28" si="15">IF(OR(AL18="",AL18=BI18),"","*")</f>
        <v/>
      </c>
      <c r="AN18" s="134"/>
      <c r="AO18" s="35" t="str">
        <f t="shared" ref="AO18:AO28" si="16">IF(OR(AN18="",AN18=BJ18),"","*")</f>
        <v/>
      </c>
      <c r="AP18" s="134"/>
      <c r="AQ18" s="35" t="str">
        <f t="shared" ref="AQ18:AQ28" si="17">IF(OR(AP18="",AP18=BK18),"","*")</f>
        <v/>
      </c>
      <c r="AR18" s="134"/>
      <c r="AS18" s="35" t="str">
        <f t="shared" ref="AS18:AS28" si="18">IF(OR(AR18="",AR18=BL18),"","*")</f>
        <v/>
      </c>
      <c r="AT18" s="99"/>
      <c r="AU18" s="205">
        <f>17.5*40</f>
        <v>700</v>
      </c>
      <c r="AV18" s="205"/>
      <c r="AW18" s="205"/>
      <c r="AX18" s="205">
        <f>AU18</f>
        <v>700</v>
      </c>
      <c r="AY18" s="26">
        <f>AX18*$AY$15</f>
        <v>43.4</v>
      </c>
      <c r="AZ18" s="25">
        <f>AX18*$AZ$15</f>
        <v>10.15</v>
      </c>
      <c r="BA18" s="52">
        <v>76</v>
      </c>
      <c r="BB18" s="25">
        <f>AX18*$BB$15</f>
        <v>21.49</v>
      </c>
      <c r="BC18" s="25">
        <f>AX18*$BC$15</f>
        <v>0.49</v>
      </c>
      <c r="BD18" s="25">
        <f>AX18*$BD$15</f>
        <v>21</v>
      </c>
      <c r="BE18" s="25">
        <v>20</v>
      </c>
      <c r="BF18" s="25">
        <v>0.85</v>
      </c>
      <c r="BG18" s="25">
        <v>1.65</v>
      </c>
      <c r="BH18" s="3">
        <f t="shared" ref="BH18:BH27" si="19">AX18-SUM(AY18:BG18)</f>
        <v>504.97</v>
      </c>
      <c r="BI18" s="25">
        <f>AX18</f>
        <v>700</v>
      </c>
      <c r="BJ18" s="25">
        <f>AX18</f>
        <v>700</v>
      </c>
      <c r="BK18" s="25">
        <f>AX18</f>
        <v>700</v>
      </c>
      <c r="BL18" s="25">
        <f>AX18</f>
        <v>700</v>
      </c>
    </row>
    <row r="19" spans="2:64" ht="15">
      <c r="B19" s="18" t="s">
        <v>28</v>
      </c>
      <c r="C19" s="103"/>
      <c r="D19" s="20"/>
      <c r="E19" s="194"/>
      <c r="F19" s="194"/>
      <c r="G19" s="180">
        <v>40</v>
      </c>
      <c r="H19" s="181">
        <v>17.25</v>
      </c>
      <c r="I19" s="109">
        <f>G19*H19</f>
        <v>690</v>
      </c>
      <c r="J19" s="35" t="str">
        <f t="shared" si="0"/>
        <v/>
      </c>
      <c r="K19" s="110">
        <v>8</v>
      </c>
      <c r="L19" s="111">
        <f>ROUND(H19*1.5,2)</f>
        <v>25.88</v>
      </c>
      <c r="M19" s="112">
        <f t="shared" si="1"/>
        <v>207.04</v>
      </c>
      <c r="N19" s="35" t="str">
        <f t="shared" si="2"/>
        <v/>
      </c>
      <c r="O19" s="144">
        <f t="shared" si="3"/>
        <v>897.04</v>
      </c>
      <c r="P19" s="36" t="str">
        <f t="shared" si="4"/>
        <v/>
      </c>
      <c r="Q19" s="133"/>
      <c r="R19" s="36" t="str">
        <f t="shared" si="5"/>
        <v/>
      </c>
      <c r="S19" s="133"/>
      <c r="T19" s="36" t="str">
        <f t="shared" si="6"/>
        <v/>
      </c>
      <c r="U19" s="144"/>
      <c r="V19" s="36" t="str">
        <f t="shared" si="7"/>
        <v/>
      </c>
      <c r="W19" s="133"/>
      <c r="X19" s="36" t="str">
        <f t="shared" si="8"/>
        <v/>
      </c>
      <c r="Y19" s="134"/>
      <c r="Z19" s="36" t="str">
        <f t="shared" si="9"/>
        <v/>
      </c>
      <c r="AA19" s="133"/>
      <c r="AB19" s="36" t="str">
        <f t="shared" si="10"/>
        <v/>
      </c>
      <c r="AC19" s="133"/>
      <c r="AD19" s="36" t="str">
        <f t="shared" si="11"/>
        <v/>
      </c>
      <c r="AE19" s="133"/>
      <c r="AF19" s="36" t="str">
        <f t="shared" si="12"/>
        <v/>
      </c>
      <c r="AG19" s="133"/>
      <c r="AH19" s="36" t="str">
        <f t="shared" si="13"/>
        <v/>
      </c>
      <c r="AI19" s="90">
        <v>314</v>
      </c>
      <c r="AJ19" s="178"/>
      <c r="AK19" s="36" t="str">
        <f t="shared" si="14"/>
        <v/>
      </c>
      <c r="AL19" s="133"/>
      <c r="AM19" s="36" t="str">
        <f t="shared" si="15"/>
        <v/>
      </c>
      <c r="AN19" s="133"/>
      <c r="AO19" s="36" t="str">
        <f t="shared" si="16"/>
        <v/>
      </c>
      <c r="AP19" s="133"/>
      <c r="AQ19" s="36" t="str">
        <f t="shared" si="17"/>
        <v/>
      </c>
      <c r="AR19" s="133"/>
      <c r="AS19" s="36" t="str">
        <f t="shared" si="18"/>
        <v/>
      </c>
      <c r="AT19" s="99"/>
      <c r="AU19" s="205">
        <f>40*17.25</f>
        <v>690</v>
      </c>
      <c r="AV19" s="205">
        <f>ROUND(17.25*1.5,2)*8</f>
        <v>207.04</v>
      </c>
      <c r="AW19" s="205"/>
      <c r="AX19" s="205">
        <f t="shared" ref="AX19:AX27" si="20">AU19+AV19</f>
        <v>897.04</v>
      </c>
      <c r="AY19" s="26">
        <f t="shared" ref="AY19:AY27" si="21">AX19*$AY$15</f>
        <v>55.62</v>
      </c>
      <c r="AZ19" s="26">
        <f t="shared" ref="AZ19:AZ27" si="22">AX19*$AZ$15</f>
        <v>13.01</v>
      </c>
      <c r="BA19" s="53">
        <v>119</v>
      </c>
      <c r="BB19" s="25">
        <f t="shared" ref="BB19:BB27" si="23">AX19*$BB$15</f>
        <v>27.54</v>
      </c>
      <c r="BC19" s="25">
        <f t="shared" ref="BC19:BC27" si="24">AX19*$BC$15</f>
        <v>0.63</v>
      </c>
      <c r="BD19" s="25">
        <f t="shared" ref="BD19:BD27" si="25">AX19*$BD$15</f>
        <v>26.91</v>
      </c>
      <c r="BE19" s="26">
        <v>50</v>
      </c>
      <c r="BF19" s="26">
        <v>0.85</v>
      </c>
      <c r="BG19" s="26">
        <v>1.65</v>
      </c>
      <c r="BH19" s="3">
        <f t="shared" si="19"/>
        <v>601.83000000000004</v>
      </c>
      <c r="BI19" s="26">
        <f t="shared" ref="BI19:BI27" si="26">AX19</f>
        <v>897.04</v>
      </c>
      <c r="BJ19" s="26">
        <f t="shared" ref="BJ19:BJ27" si="27">AX19</f>
        <v>897.04</v>
      </c>
      <c r="BK19" s="26">
        <f t="shared" ref="BK19:BK27" si="28">AX19</f>
        <v>897.04</v>
      </c>
      <c r="BL19" s="26">
        <f t="shared" ref="BL19:BL27" si="29">AX19</f>
        <v>897.04</v>
      </c>
    </row>
    <row r="20" spans="2:64" ht="15">
      <c r="B20" s="18" t="s">
        <v>29</v>
      </c>
      <c r="C20" s="103"/>
      <c r="D20" s="20"/>
      <c r="E20" s="194"/>
      <c r="F20" s="194"/>
      <c r="G20" s="180">
        <v>37.5</v>
      </c>
      <c r="H20" s="181">
        <v>18.100000000000001</v>
      </c>
      <c r="I20" s="109">
        <f>G20*H20</f>
        <v>678.75</v>
      </c>
      <c r="J20" s="35" t="str">
        <f t="shared" si="0"/>
        <v/>
      </c>
      <c r="K20" s="110"/>
      <c r="L20" s="111"/>
      <c r="M20" s="109">
        <f t="shared" si="1"/>
        <v>0</v>
      </c>
      <c r="N20" s="35" t="str">
        <f t="shared" si="2"/>
        <v/>
      </c>
      <c r="O20" s="144">
        <f t="shared" si="3"/>
        <v>678.75</v>
      </c>
      <c r="P20" s="36" t="str">
        <f t="shared" si="4"/>
        <v/>
      </c>
      <c r="Q20" s="133"/>
      <c r="R20" s="36" t="str">
        <f t="shared" si="5"/>
        <v/>
      </c>
      <c r="S20" s="133"/>
      <c r="T20" s="36" t="str">
        <f t="shared" si="6"/>
        <v/>
      </c>
      <c r="U20" s="144"/>
      <c r="V20" s="36" t="str">
        <f t="shared" si="7"/>
        <v/>
      </c>
      <c r="W20" s="133"/>
      <c r="X20" s="36" t="str">
        <f t="shared" si="8"/>
        <v/>
      </c>
      <c r="Y20" s="134"/>
      <c r="Z20" s="36" t="str">
        <f t="shared" si="9"/>
        <v/>
      </c>
      <c r="AA20" s="133"/>
      <c r="AB20" s="36" t="str">
        <f t="shared" si="10"/>
        <v/>
      </c>
      <c r="AC20" s="133"/>
      <c r="AD20" s="36" t="str">
        <f t="shared" si="11"/>
        <v/>
      </c>
      <c r="AE20" s="133"/>
      <c r="AF20" s="36" t="str">
        <f t="shared" si="12"/>
        <v/>
      </c>
      <c r="AG20" s="133"/>
      <c r="AH20" s="36" t="str">
        <f t="shared" si="13"/>
        <v/>
      </c>
      <c r="AI20" s="90">
        <v>315</v>
      </c>
      <c r="AJ20" s="178"/>
      <c r="AK20" s="36" t="str">
        <f t="shared" si="14"/>
        <v/>
      </c>
      <c r="AL20" s="133"/>
      <c r="AM20" s="36" t="str">
        <f t="shared" si="15"/>
        <v/>
      </c>
      <c r="AN20" s="133"/>
      <c r="AO20" s="36" t="str">
        <f t="shared" si="16"/>
        <v/>
      </c>
      <c r="AP20" s="133"/>
      <c r="AQ20" s="36" t="str">
        <f t="shared" si="17"/>
        <v/>
      </c>
      <c r="AR20" s="133"/>
      <c r="AS20" s="36" t="str">
        <f t="shared" si="18"/>
        <v/>
      </c>
      <c r="AT20" s="99"/>
      <c r="AU20" s="205">
        <f>37.5*18.1</f>
        <v>678.75</v>
      </c>
      <c r="AV20" s="205"/>
      <c r="AW20" s="205"/>
      <c r="AX20" s="205">
        <f t="shared" si="20"/>
        <v>678.75</v>
      </c>
      <c r="AY20" s="26">
        <f t="shared" si="21"/>
        <v>42.08</v>
      </c>
      <c r="AZ20" s="26">
        <f t="shared" si="22"/>
        <v>9.84</v>
      </c>
      <c r="BA20" s="53">
        <v>32</v>
      </c>
      <c r="BB20" s="25">
        <f t="shared" si="23"/>
        <v>20.84</v>
      </c>
      <c r="BC20" s="25">
        <f t="shared" si="24"/>
        <v>0.48</v>
      </c>
      <c r="BD20" s="25">
        <f t="shared" si="25"/>
        <v>20.36</v>
      </c>
      <c r="BE20" s="26">
        <v>40</v>
      </c>
      <c r="BF20" s="26">
        <v>0.85</v>
      </c>
      <c r="BG20" s="26">
        <v>1.65</v>
      </c>
      <c r="BH20" s="3">
        <f t="shared" si="19"/>
        <v>510.65</v>
      </c>
      <c r="BI20" s="26">
        <f t="shared" si="26"/>
        <v>678.75</v>
      </c>
      <c r="BJ20" s="26">
        <f t="shared" si="27"/>
        <v>678.75</v>
      </c>
      <c r="BK20" s="26">
        <f t="shared" si="28"/>
        <v>678.75</v>
      </c>
      <c r="BL20" s="26">
        <f t="shared" si="29"/>
        <v>678.75</v>
      </c>
    </row>
    <row r="21" spans="2:64" ht="15">
      <c r="B21" s="18" t="s">
        <v>30</v>
      </c>
      <c r="C21" s="103"/>
      <c r="D21" s="20"/>
      <c r="E21" s="194"/>
      <c r="F21" s="194"/>
      <c r="G21" s="180">
        <v>40</v>
      </c>
      <c r="H21" s="181">
        <v>17.899999999999999</v>
      </c>
      <c r="I21" s="113">
        <f>G21*H21</f>
        <v>716</v>
      </c>
      <c r="J21" s="35" t="str">
        <f t="shared" si="0"/>
        <v/>
      </c>
      <c r="K21" s="110">
        <v>6</v>
      </c>
      <c r="L21" s="111">
        <f>ROUND(H21*1.5,2)</f>
        <v>26.85</v>
      </c>
      <c r="M21" s="113">
        <f t="shared" si="1"/>
        <v>161.1</v>
      </c>
      <c r="N21" s="35" t="str">
        <f t="shared" si="2"/>
        <v/>
      </c>
      <c r="O21" s="144">
        <f t="shared" si="3"/>
        <v>877.1</v>
      </c>
      <c r="P21" s="36" t="str">
        <f t="shared" si="4"/>
        <v/>
      </c>
      <c r="Q21" s="133"/>
      <c r="R21" s="36" t="str">
        <f t="shared" si="5"/>
        <v/>
      </c>
      <c r="S21" s="133"/>
      <c r="T21" s="36" t="str">
        <f t="shared" si="6"/>
        <v/>
      </c>
      <c r="U21" s="144"/>
      <c r="V21" s="36" t="str">
        <f t="shared" si="7"/>
        <v/>
      </c>
      <c r="W21" s="133"/>
      <c r="X21" s="36" t="str">
        <f t="shared" si="8"/>
        <v/>
      </c>
      <c r="Y21" s="134"/>
      <c r="Z21" s="36" t="str">
        <f t="shared" si="9"/>
        <v/>
      </c>
      <c r="AA21" s="133"/>
      <c r="AB21" s="36" t="str">
        <f t="shared" si="10"/>
        <v/>
      </c>
      <c r="AC21" s="133"/>
      <c r="AD21" s="36" t="str">
        <f t="shared" si="11"/>
        <v/>
      </c>
      <c r="AE21" s="133"/>
      <c r="AF21" s="36" t="str">
        <f t="shared" si="12"/>
        <v/>
      </c>
      <c r="AG21" s="133"/>
      <c r="AH21" s="36" t="str">
        <f t="shared" si="13"/>
        <v/>
      </c>
      <c r="AI21" s="90">
        <v>316</v>
      </c>
      <c r="AJ21" s="178"/>
      <c r="AK21" s="36" t="str">
        <f t="shared" si="14"/>
        <v/>
      </c>
      <c r="AL21" s="133"/>
      <c r="AM21" s="36" t="str">
        <f t="shared" si="15"/>
        <v/>
      </c>
      <c r="AN21" s="133"/>
      <c r="AO21" s="36" t="str">
        <f t="shared" si="16"/>
        <v/>
      </c>
      <c r="AP21" s="133"/>
      <c r="AQ21" s="36" t="str">
        <f t="shared" si="17"/>
        <v/>
      </c>
      <c r="AR21" s="133"/>
      <c r="AS21" s="36" t="str">
        <f t="shared" si="18"/>
        <v/>
      </c>
      <c r="AT21" s="99"/>
      <c r="AU21" s="205">
        <f>40*17.9</f>
        <v>716</v>
      </c>
      <c r="AV21" s="205">
        <f>ROUND(17.9*1.5,2)*6</f>
        <v>161.1</v>
      </c>
      <c r="AW21" s="205"/>
      <c r="AX21" s="205">
        <f t="shared" si="20"/>
        <v>877.1</v>
      </c>
      <c r="AY21" s="26">
        <f t="shared" si="21"/>
        <v>54.38</v>
      </c>
      <c r="AZ21" s="26">
        <f t="shared" si="22"/>
        <v>12.72</v>
      </c>
      <c r="BA21" s="53">
        <v>35</v>
      </c>
      <c r="BB21" s="25">
        <f t="shared" si="23"/>
        <v>26.93</v>
      </c>
      <c r="BC21" s="25">
        <f t="shared" si="24"/>
        <v>0.61</v>
      </c>
      <c r="BD21" s="25">
        <f t="shared" si="25"/>
        <v>26.31</v>
      </c>
      <c r="BE21" s="26">
        <v>50</v>
      </c>
      <c r="BF21" s="26">
        <v>0.85</v>
      </c>
      <c r="BG21" s="26">
        <v>1.65</v>
      </c>
      <c r="BH21" s="3">
        <f t="shared" si="19"/>
        <v>668.65</v>
      </c>
      <c r="BI21" s="26">
        <f t="shared" si="26"/>
        <v>877.1</v>
      </c>
      <c r="BJ21" s="26">
        <f t="shared" si="27"/>
        <v>877.1</v>
      </c>
      <c r="BK21" s="26">
        <f t="shared" si="28"/>
        <v>877.1</v>
      </c>
      <c r="BL21" s="26">
        <f t="shared" si="29"/>
        <v>877.1</v>
      </c>
    </row>
    <row r="22" spans="2:64" ht="15">
      <c r="B22" s="18" t="s">
        <v>31</v>
      </c>
      <c r="C22" s="103"/>
      <c r="D22" s="20"/>
      <c r="E22" s="194"/>
      <c r="F22" s="194"/>
      <c r="G22" s="180">
        <v>40</v>
      </c>
      <c r="H22" s="181">
        <v>19.75</v>
      </c>
      <c r="I22" s="113">
        <f>G22*H22</f>
        <v>790</v>
      </c>
      <c r="J22" s="35" t="str">
        <f t="shared" si="0"/>
        <v/>
      </c>
      <c r="K22" s="110"/>
      <c r="L22" s="111"/>
      <c r="M22" s="113">
        <f t="shared" si="1"/>
        <v>0</v>
      </c>
      <c r="N22" s="35" t="str">
        <f t="shared" si="2"/>
        <v/>
      </c>
      <c r="O22" s="144">
        <f t="shared" si="3"/>
        <v>790</v>
      </c>
      <c r="P22" s="36" t="str">
        <f t="shared" si="4"/>
        <v/>
      </c>
      <c r="Q22" s="133"/>
      <c r="R22" s="36" t="str">
        <f t="shared" si="5"/>
        <v/>
      </c>
      <c r="S22" s="133"/>
      <c r="T22" s="36" t="str">
        <f t="shared" si="6"/>
        <v/>
      </c>
      <c r="U22" s="144"/>
      <c r="V22" s="36" t="str">
        <f t="shared" si="7"/>
        <v/>
      </c>
      <c r="W22" s="133"/>
      <c r="X22" s="36" t="str">
        <f t="shared" si="8"/>
        <v/>
      </c>
      <c r="Y22" s="134"/>
      <c r="Z22" s="36" t="str">
        <f t="shared" si="9"/>
        <v/>
      </c>
      <c r="AA22" s="133"/>
      <c r="AB22" s="36" t="str">
        <f t="shared" si="10"/>
        <v/>
      </c>
      <c r="AC22" s="133"/>
      <c r="AD22" s="36" t="str">
        <f t="shared" si="11"/>
        <v/>
      </c>
      <c r="AE22" s="133"/>
      <c r="AF22" s="36" t="str">
        <f t="shared" si="12"/>
        <v/>
      </c>
      <c r="AG22" s="133"/>
      <c r="AH22" s="36" t="str">
        <f t="shared" si="13"/>
        <v/>
      </c>
      <c r="AI22" s="90">
        <v>317</v>
      </c>
      <c r="AJ22" s="178"/>
      <c r="AK22" s="36" t="str">
        <f t="shared" si="14"/>
        <v/>
      </c>
      <c r="AL22" s="133"/>
      <c r="AM22" s="36" t="str">
        <f t="shared" si="15"/>
        <v/>
      </c>
      <c r="AN22" s="133"/>
      <c r="AO22" s="36" t="str">
        <f t="shared" si="16"/>
        <v/>
      </c>
      <c r="AP22" s="133"/>
      <c r="AQ22" s="36" t="str">
        <f t="shared" si="17"/>
        <v/>
      </c>
      <c r="AR22" s="133"/>
      <c r="AS22" s="36" t="str">
        <f t="shared" si="18"/>
        <v/>
      </c>
      <c r="AT22" s="99"/>
      <c r="AU22" s="205">
        <f>40*19.75</f>
        <v>790</v>
      </c>
      <c r="AV22" s="205"/>
      <c r="AW22" s="205"/>
      <c r="AX22" s="205">
        <f t="shared" si="20"/>
        <v>790</v>
      </c>
      <c r="AY22" s="26">
        <f t="shared" si="21"/>
        <v>48.98</v>
      </c>
      <c r="AZ22" s="26">
        <f t="shared" si="22"/>
        <v>11.46</v>
      </c>
      <c r="BA22" s="53">
        <v>78</v>
      </c>
      <c r="BB22" s="25">
        <f t="shared" si="23"/>
        <v>24.25</v>
      </c>
      <c r="BC22" s="25">
        <f t="shared" si="24"/>
        <v>0.55000000000000004</v>
      </c>
      <c r="BD22" s="25">
        <f t="shared" si="25"/>
        <v>23.7</v>
      </c>
      <c r="BE22" s="26">
        <v>20</v>
      </c>
      <c r="BF22" s="26">
        <v>0</v>
      </c>
      <c r="BG22" s="26">
        <v>1.65</v>
      </c>
      <c r="BH22" s="3">
        <f t="shared" si="19"/>
        <v>581.41</v>
      </c>
      <c r="BI22" s="26">
        <f t="shared" si="26"/>
        <v>790</v>
      </c>
      <c r="BJ22" s="26">
        <f t="shared" si="27"/>
        <v>790</v>
      </c>
      <c r="BK22" s="26">
        <f t="shared" si="28"/>
        <v>790</v>
      </c>
      <c r="BL22" s="26">
        <f t="shared" si="29"/>
        <v>790</v>
      </c>
    </row>
    <row r="23" spans="2:64" ht="15">
      <c r="B23" s="18" t="s">
        <v>32</v>
      </c>
      <c r="C23" s="103"/>
      <c r="D23" s="20"/>
      <c r="E23" s="194"/>
      <c r="F23" s="194"/>
      <c r="G23" s="180">
        <v>40</v>
      </c>
      <c r="H23" s="175"/>
      <c r="I23" s="109">
        <v>515</v>
      </c>
      <c r="J23" s="35" t="str">
        <f t="shared" si="0"/>
        <v/>
      </c>
      <c r="K23" s="110">
        <v>1.25</v>
      </c>
      <c r="L23" s="115">
        <f>(ROUND(I23/40,2))*1.5</f>
        <v>19.32</v>
      </c>
      <c r="M23" s="116">
        <f t="shared" si="1"/>
        <v>24.15</v>
      </c>
      <c r="N23" s="35" t="str">
        <f t="shared" si="2"/>
        <v/>
      </c>
      <c r="O23" s="144">
        <f t="shared" si="3"/>
        <v>539.15</v>
      </c>
      <c r="P23" s="36" t="str">
        <f t="shared" si="4"/>
        <v/>
      </c>
      <c r="Q23" s="133"/>
      <c r="R23" s="36" t="str">
        <f t="shared" si="5"/>
        <v/>
      </c>
      <c r="S23" s="133"/>
      <c r="T23" s="36" t="str">
        <f t="shared" si="6"/>
        <v/>
      </c>
      <c r="U23" s="144"/>
      <c r="V23" s="36" t="str">
        <f t="shared" si="7"/>
        <v/>
      </c>
      <c r="W23" s="133"/>
      <c r="X23" s="36" t="str">
        <f t="shared" si="8"/>
        <v/>
      </c>
      <c r="Y23" s="134"/>
      <c r="Z23" s="36" t="str">
        <f t="shared" si="9"/>
        <v/>
      </c>
      <c r="AA23" s="133"/>
      <c r="AB23" s="36" t="str">
        <f t="shared" si="10"/>
        <v/>
      </c>
      <c r="AC23" s="133"/>
      <c r="AD23" s="36" t="str">
        <f t="shared" si="11"/>
        <v/>
      </c>
      <c r="AE23" s="133"/>
      <c r="AF23" s="36" t="str">
        <f t="shared" si="12"/>
        <v/>
      </c>
      <c r="AG23" s="133"/>
      <c r="AH23" s="36" t="str">
        <f t="shared" si="13"/>
        <v/>
      </c>
      <c r="AI23" s="90">
        <v>318</v>
      </c>
      <c r="AJ23" s="178"/>
      <c r="AK23" s="36" t="str">
        <f t="shared" si="14"/>
        <v/>
      </c>
      <c r="AL23" s="133"/>
      <c r="AM23" s="36" t="str">
        <f t="shared" si="15"/>
        <v/>
      </c>
      <c r="AN23" s="133"/>
      <c r="AO23" s="36" t="str">
        <f t="shared" si="16"/>
        <v/>
      </c>
      <c r="AP23" s="133"/>
      <c r="AQ23" s="36" t="str">
        <f t="shared" si="17"/>
        <v/>
      </c>
      <c r="AR23" s="133"/>
      <c r="AS23" s="36" t="str">
        <f t="shared" si="18"/>
        <v/>
      </c>
      <c r="AT23" s="99"/>
      <c r="AU23" s="205">
        <v>515</v>
      </c>
      <c r="AV23" s="205">
        <f>ROUND(515/40,2)*1.5*1.25</f>
        <v>24.15</v>
      </c>
      <c r="AW23" s="205"/>
      <c r="AX23" s="205">
        <f t="shared" si="20"/>
        <v>539.15</v>
      </c>
      <c r="AY23" s="26">
        <f t="shared" si="21"/>
        <v>33.43</v>
      </c>
      <c r="AZ23" s="26">
        <f t="shared" si="22"/>
        <v>7.82</v>
      </c>
      <c r="BA23" s="53">
        <v>10</v>
      </c>
      <c r="BB23" s="25">
        <f t="shared" si="23"/>
        <v>16.55</v>
      </c>
      <c r="BC23" s="25">
        <f t="shared" si="24"/>
        <v>0.38</v>
      </c>
      <c r="BD23" s="25">
        <f t="shared" si="25"/>
        <v>16.170000000000002</v>
      </c>
      <c r="BE23" s="26">
        <v>40</v>
      </c>
      <c r="BF23" s="26">
        <v>0.85</v>
      </c>
      <c r="BG23" s="26">
        <v>1.65</v>
      </c>
      <c r="BH23" s="3">
        <f t="shared" si="19"/>
        <v>412.3</v>
      </c>
      <c r="BI23" s="26">
        <f t="shared" si="26"/>
        <v>539.15</v>
      </c>
      <c r="BJ23" s="26">
        <f t="shared" si="27"/>
        <v>539.15</v>
      </c>
      <c r="BK23" s="26">
        <f t="shared" si="28"/>
        <v>539.15</v>
      </c>
      <c r="BL23" s="26">
        <f t="shared" si="29"/>
        <v>539.15</v>
      </c>
    </row>
    <row r="24" spans="2:64" ht="15">
      <c r="B24" s="18" t="s">
        <v>33</v>
      </c>
      <c r="C24" s="103"/>
      <c r="D24" s="20"/>
      <c r="E24" s="194"/>
      <c r="F24" s="194"/>
      <c r="G24" s="180">
        <v>40</v>
      </c>
      <c r="H24" s="175"/>
      <c r="I24" s="109">
        <f>ROUND(2700*12/52,2)</f>
        <v>623.08000000000004</v>
      </c>
      <c r="J24" s="35" t="str">
        <f t="shared" si="0"/>
        <v/>
      </c>
      <c r="K24" s="110"/>
      <c r="L24" s="111"/>
      <c r="M24" s="109"/>
      <c r="N24" s="35" t="str">
        <f t="shared" si="2"/>
        <v/>
      </c>
      <c r="O24" s="144">
        <f t="shared" si="3"/>
        <v>623.08000000000004</v>
      </c>
      <c r="P24" s="36" t="str">
        <f t="shared" si="4"/>
        <v/>
      </c>
      <c r="Q24" s="133"/>
      <c r="R24" s="36" t="str">
        <f t="shared" si="5"/>
        <v/>
      </c>
      <c r="S24" s="133"/>
      <c r="T24" s="36" t="str">
        <f t="shared" si="6"/>
        <v/>
      </c>
      <c r="U24" s="144"/>
      <c r="V24" s="36" t="str">
        <f t="shared" si="7"/>
        <v/>
      </c>
      <c r="W24" s="133"/>
      <c r="X24" s="36" t="str">
        <f t="shared" si="8"/>
        <v/>
      </c>
      <c r="Y24" s="134"/>
      <c r="Z24" s="36" t="str">
        <f t="shared" si="9"/>
        <v/>
      </c>
      <c r="AA24" s="133"/>
      <c r="AB24" s="36" t="str">
        <f t="shared" si="10"/>
        <v/>
      </c>
      <c r="AC24" s="133"/>
      <c r="AD24" s="36" t="str">
        <f t="shared" si="11"/>
        <v/>
      </c>
      <c r="AE24" s="133"/>
      <c r="AF24" s="36" t="str">
        <f t="shared" si="12"/>
        <v/>
      </c>
      <c r="AG24" s="133"/>
      <c r="AH24" s="36" t="str">
        <f t="shared" si="13"/>
        <v/>
      </c>
      <c r="AI24" s="90">
        <v>319</v>
      </c>
      <c r="AJ24" s="178"/>
      <c r="AK24" s="36" t="str">
        <f t="shared" si="14"/>
        <v/>
      </c>
      <c r="AL24" s="133"/>
      <c r="AM24" s="36" t="str">
        <f t="shared" si="15"/>
        <v/>
      </c>
      <c r="AN24" s="133"/>
      <c r="AO24" s="36" t="str">
        <f t="shared" si="16"/>
        <v/>
      </c>
      <c r="AP24" s="133"/>
      <c r="AQ24" s="36" t="str">
        <f t="shared" si="17"/>
        <v/>
      </c>
      <c r="AR24" s="133"/>
      <c r="AS24" s="36" t="str">
        <f t="shared" si="18"/>
        <v/>
      </c>
      <c r="AT24" s="99"/>
      <c r="AU24" s="205">
        <f>ROUND(2700*12/52,2)</f>
        <v>623.08000000000004</v>
      </c>
      <c r="AV24" s="205"/>
      <c r="AW24" s="205"/>
      <c r="AX24" s="205">
        <f t="shared" si="20"/>
        <v>623.08000000000004</v>
      </c>
      <c r="AY24" s="26">
        <f t="shared" si="21"/>
        <v>38.630000000000003</v>
      </c>
      <c r="AZ24" s="26">
        <f t="shared" si="22"/>
        <v>9.0299999999999994</v>
      </c>
      <c r="BA24" s="53">
        <v>0</v>
      </c>
      <c r="BB24" s="25">
        <f t="shared" si="23"/>
        <v>19.13</v>
      </c>
      <c r="BC24" s="25">
        <f t="shared" si="24"/>
        <v>0.44</v>
      </c>
      <c r="BD24" s="25">
        <f t="shared" si="25"/>
        <v>18.690000000000001</v>
      </c>
      <c r="BE24" s="26">
        <v>50</v>
      </c>
      <c r="BF24" s="26">
        <v>0.85</v>
      </c>
      <c r="BG24" s="26">
        <v>1.65</v>
      </c>
      <c r="BH24" s="3">
        <f t="shared" si="19"/>
        <v>484.66</v>
      </c>
      <c r="BI24" s="26">
        <f t="shared" si="26"/>
        <v>623.08000000000004</v>
      </c>
      <c r="BJ24" s="26">
        <f t="shared" si="27"/>
        <v>623.08000000000004</v>
      </c>
      <c r="BK24" s="26">
        <f t="shared" si="28"/>
        <v>623.08000000000004</v>
      </c>
      <c r="BL24" s="26">
        <f t="shared" si="29"/>
        <v>623.08000000000004</v>
      </c>
    </row>
    <row r="25" spans="2:64" ht="15">
      <c r="B25" s="18" t="s">
        <v>34</v>
      </c>
      <c r="C25" s="103"/>
      <c r="D25" s="20"/>
      <c r="E25" s="194"/>
      <c r="F25" s="194"/>
      <c r="G25" s="180">
        <v>40</v>
      </c>
      <c r="H25" s="175"/>
      <c r="I25" s="109">
        <f>ROUND(3350*12/52,2)</f>
        <v>773.08</v>
      </c>
      <c r="J25" s="35" t="str">
        <f t="shared" si="0"/>
        <v/>
      </c>
      <c r="K25" s="110"/>
      <c r="L25" s="111"/>
      <c r="M25" s="109"/>
      <c r="N25" s="35" t="str">
        <f t="shared" si="2"/>
        <v/>
      </c>
      <c r="O25" s="144">
        <f t="shared" si="3"/>
        <v>773.08</v>
      </c>
      <c r="P25" s="36" t="str">
        <f t="shared" si="4"/>
        <v/>
      </c>
      <c r="Q25" s="133"/>
      <c r="R25" s="36" t="str">
        <f t="shared" si="5"/>
        <v/>
      </c>
      <c r="S25" s="133"/>
      <c r="T25" s="36" t="str">
        <f t="shared" si="6"/>
        <v/>
      </c>
      <c r="U25" s="144"/>
      <c r="V25" s="36" t="str">
        <f t="shared" si="7"/>
        <v/>
      </c>
      <c r="W25" s="133"/>
      <c r="X25" s="36" t="str">
        <f t="shared" si="8"/>
        <v/>
      </c>
      <c r="Y25" s="134"/>
      <c r="Z25" s="36" t="str">
        <f t="shared" si="9"/>
        <v/>
      </c>
      <c r="AA25" s="133"/>
      <c r="AB25" s="36" t="str">
        <f t="shared" si="10"/>
        <v/>
      </c>
      <c r="AC25" s="133"/>
      <c r="AD25" s="36" t="str">
        <f t="shared" si="11"/>
        <v/>
      </c>
      <c r="AE25" s="133"/>
      <c r="AF25" s="36" t="str">
        <f t="shared" si="12"/>
        <v/>
      </c>
      <c r="AG25" s="133"/>
      <c r="AH25" s="36" t="str">
        <f t="shared" si="13"/>
        <v/>
      </c>
      <c r="AI25" s="90">
        <v>320</v>
      </c>
      <c r="AJ25" s="178"/>
      <c r="AK25" s="36" t="str">
        <f t="shared" si="14"/>
        <v/>
      </c>
      <c r="AL25" s="133"/>
      <c r="AM25" s="36" t="str">
        <f t="shared" si="15"/>
        <v/>
      </c>
      <c r="AN25" s="133"/>
      <c r="AO25" s="36" t="str">
        <f t="shared" si="16"/>
        <v/>
      </c>
      <c r="AP25" s="133"/>
      <c r="AQ25" s="36" t="str">
        <f t="shared" si="17"/>
        <v/>
      </c>
      <c r="AR25" s="133"/>
      <c r="AS25" s="36" t="str">
        <f t="shared" si="18"/>
        <v/>
      </c>
      <c r="AT25" s="99"/>
      <c r="AU25" s="205">
        <f>ROUND(3350*12/52,2)</f>
        <v>773.08</v>
      </c>
      <c r="AV25" s="205"/>
      <c r="AW25" s="205"/>
      <c r="AX25" s="205">
        <f t="shared" si="20"/>
        <v>773.08</v>
      </c>
      <c r="AY25" s="26">
        <f t="shared" si="21"/>
        <v>47.93</v>
      </c>
      <c r="AZ25" s="26">
        <f t="shared" si="22"/>
        <v>11.21</v>
      </c>
      <c r="BA25" s="53">
        <v>80</v>
      </c>
      <c r="BB25" s="25">
        <f t="shared" si="23"/>
        <v>23.73</v>
      </c>
      <c r="BC25" s="25">
        <f t="shared" si="24"/>
        <v>0.54</v>
      </c>
      <c r="BD25" s="25">
        <f t="shared" si="25"/>
        <v>23.19</v>
      </c>
      <c r="BE25" s="26">
        <v>60</v>
      </c>
      <c r="BF25" s="26">
        <v>0</v>
      </c>
      <c r="BG25" s="26">
        <v>1.65</v>
      </c>
      <c r="BH25" s="3">
        <f t="shared" si="19"/>
        <v>524.83000000000004</v>
      </c>
      <c r="BI25" s="26">
        <f t="shared" si="26"/>
        <v>773.08</v>
      </c>
      <c r="BJ25" s="26">
        <f t="shared" si="27"/>
        <v>773.08</v>
      </c>
      <c r="BK25" s="26">
        <f t="shared" si="28"/>
        <v>773.08</v>
      </c>
      <c r="BL25" s="26">
        <f t="shared" si="29"/>
        <v>773.08</v>
      </c>
    </row>
    <row r="26" spans="2:64" ht="15">
      <c r="B26" s="18" t="s">
        <v>35</v>
      </c>
      <c r="C26" s="103"/>
      <c r="D26" s="20"/>
      <c r="E26" s="194"/>
      <c r="F26" s="194"/>
      <c r="G26" s="180">
        <v>40</v>
      </c>
      <c r="H26" s="175"/>
      <c r="I26" s="109">
        <f>ROUND(2510*12/52,2)</f>
        <v>579.23</v>
      </c>
      <c r="J26" s="35" t="str">
        <f t="shared" si="0"/>
        <v/>
      </c>
      <c r="K26" s="110">
        <v>4</v>
      </c>
      <c r="L26" s="111">
        <f>(ROUND(I26/40,2))*1.5</f>
        <v>21.72</v>
      </c>
      <c r="M26" s="113">
        <f>K26*L26</f>
        <v>86.88</v>
      </c>
      <c r="N26" s="35" t="str">
        <f t="shared" si="2"/>
        <v/>
      </c>
      <c r="O26" s="144">
        <f t="shared" si="3"/>
        <v>666.11</v>
      </c>
      <c r="P26" s="36" t="str">
        <f t="shared" si="4"/>
        <v/>
      </c>
      <c r="Q26" s="133"/>
      <c r="R26" s="36" t="str">
        <f t="shared" si="5"/>
        <v/>
      </c>
      <c r="S26" s="133"/>
      <c r="T26" s="36" t="str">
        <f t="shared" si="6"/>
        <v/>
      </c>
      <c r="U26" s="144"/>
      <c r="V26" s="36" t="str">
        <f t="shared" si="7"/>
        <v/>
      </c>
      <c r="W26" s="133"/>
      <c r="X26" s="36" t="str">
        <f t="shared" si="8"/>
        <v/>
      </c>
      <c r="Y26" s="134"/>
      <c r="Z26" s="36" t="str">
        <f t="shared" si="9"/>
        <v/>
      </c>
      <c r="AA26" s="133"/>
      <c r="AB26" s="36" t="str">
        <f t="shared" si="10"/>
        <v/>
      </c>
      <c r="AC26" s="133"/>
      <c r="AD26" s="36" t="str">
        <f t="shared" si="11"/>
        <v/>
      </c>
      <c r="AE26" s="133"/>
      <c r="AF26" s="36" t="str">
        <f t="shared" si="12"/>
        <v/>
      </c>
      <c r="AG26" s="133"/>
      <c r="AH26" s="36" t="str">
        <f t="shared" si="13"/>
        <v/>
      </c>
      <c r="AI26" s="90">
        <v>321</v>
      </c>
      <c r="AJ26" s="178"/>
      <c r="AK26" s="36" t="str">
        <f t="shared" si="14"/>
        <v/>
      </c>
      <c r="AL26" s="133"/>
      <c r="AM26" s="36" t="str">
        <f t="shared" si="15"/>
        <v/>
      </c>
      <c r="AN26" s="133"/>
      <c r="AO26" s="36" t="str">
        <f t="shared" si="16"/>
        <v/>
      </c>
      <c r="AP26" s="133"/>
      <c r="AQ26" s="36" t="str">
        <f t="shared" si="17"/>
        <v/>
      </c>
      <c r="AR26" s="133"/>
      <c r="AS26" s="36" t="str">
        <f t="shared" si="18"/>
        <v/>
      </c>
      <c r="AT26" s="99"/>
      <c r="AU26" s="205">
        <f>ROUND(2510*12/52,2)</f>
        <v>579.23</v>
      </c>
      <c r="AV26" s="205">
        <f>ROUND(579.23/40,2)*1.5*4</f>
        <v>86.88</v>
      </c>
      <c r="AW26" s="205"/>
      <c r="AX26" s="205">
        <f t="shared" si="20"/>
        <v>666.11</v>
      </c>
      <c r="AY26" s="26">
        <f t="shared" si="21"/>
        <v>41.3</v>
      </c>
      <c r="AZ26" s="26">
        <f t="shared" si="22"/>
        <v>9.66</v>
      </c>
      <c r="BA26" s="53">
        <v>9</v>
      </c>
      <c r="BB26" s="25">
        <f t="shared" si="23"/>
        <v>20.45</v>
      </c>
      <c r="BC26" s="25">
        <f t="shared" si="24"/>
        <v>0.47</v>
      </c>
      <c r="BD26" s="25">
        <f t="shared" si="25"/>
        <v>19.98</v>
      </c>
      <c r="BE26" s="26">
        <v>30</v>
      </c>
      <c r="BF26" s="26">
        <v>0.85</v>
      </c>
      <c r="BG26" s="26">
        <v>1.65</v>
      </c>
      <c r="BH26" s="3">
        <f t="shared" si="19"/>
        <v>532.75</v>
      </c>
      <c r="BI26" s="26">
        <f t="shared" si="26"/>
        <v>666.11</v>
      </c>
      <c r="BJ26" s="26">
        <f t="shared" si="27"/>
        <v>666.11</v>
      </c>
      <c r="BK26" s="26">
        <f t="shared" si="28"/>
        <v>666.11</v>
      </c>
      <c r="BL26" s="26">
        <f t="shared" si="29"/>
        <v>666.11</v>
      </c>
    </row>
    <row r="27" spans="2:64" ht="15">
      <c r="B27" s="18" t="s">
        <v>36</v>
      </c>
      <c r="C27" s="103"/>
      <c r="D27" s="20"/>
      <c r="E27" s="194"/>
      <c r="F27" s="194"/>
      <c r="G27" s="180">
        <v>40</v>
      </c>
      <c r="H27" s="175"/>
      <c r="I27" s="117">
        <f>ROUND(52000/52,2)</f>
        <v>1000</v>
      </c>
      <c r="J27" s="35" t="str">
        <f t="shared" si="0"/>
        <v/>
      </c>
      <c r="K27" s="118"/>
      <c r="L27" s="118"/>
      <c r="M27" s="117"/>
      <c r="N27" s="35" t="str">
        <f t="shared" si="2"/>
        <v/>
      </c>
      <c r="O27" s="144">
        <f t="shared" si="3"/>
        <v>1000</v>
      </c>
      <c r="P27" s="47" t="str">
        <f t="shared" si="4"/>
        <v/>
      </c>
      <c r="Q27" s="133"/>
      <c r="R27" s="5" t="str">
        <f t="shared" si="5"/>
        <v/>
      </c>
      <c r="S27" s="133"/>
      <c r="T27" s="36" t="str">
        <f t="shared" si="6"/>
        <v/>
      </c>
      <c r="U27" s="145"/>
      <c r="V27" s="50" t="str">
        <f t="shared" si="7"/>
        <v/>
      </c>
      <c r="W27" s="133"/>
      <c r="X27" s="36" t="str">
        <f t="shared" si="8"/>
        <v/>
      </c>
      <c r="Y27" s="134"/>
      <c r="Z27" s="61" t="str">
        <f t="shared" si="9"/>
        <v/>
      </c>
      <c r="AA27" s="146"/>
      <c r="AB27" s="36" t="str">
        <f t="shared" si="10"/>
        <v/>
      </c>
      <c r="AC27" s="146"/>
      <c r="AD27" s="36" t="str">
        <f t="shared" si="11"/>
        <v/>
      </c>
      <c r="AE27" s="146"/>
      <c r="AF27" s="61" t="str">
        <f t="shared" si="12"/>
        <v/>
      </c>
      <c r="AG27" s="146"/>
      <c r="AH27" s="61" t="str">
        <f t="shared" si="13"/>
        <v/>
      </c>
      <c r="AI27" s="90">
        <v>322</v>
      </c>
      <c r="AJ27" s="178"/>
      <c r="AK27" s="36" t="str">
        <f t="shared" si="14"/>
        <v/>
      </c>
      <c r="AL27" s="146"/>
      <c r="AM27" s="61" t="str">
        <f t="shared" si="15"/>
        <v/>
      </c>
      <c r="AN27" s="179"/>
      <c r="AO27" s="61" t="str">
        <f t="shared" si="16"/>
        <v/>
      </c>
      <c r="AP27" s="146"/>
      <c r="AQ27" s="36" t="str">
        <f t="shared" si="17"/>
        <v/>
      </c>
      <c r="AR27" s="146"/>
      <c r="AS27" s="36" t="str">
        <f t="shared" si="18"/>
        <v/>
      </c>
      <c r="AT27" s="99"/>
      <c r="AU27" s="205">
        <f>ROUND(52000/52,2)</f>
        <v>1000</v>
      </c>
      <c r="AV27" s="205"/>
      <c r="AW27" s="205"/>
      <c r="AX27" s="205">
        <f t="shared" si="20"/>
        <v>1000</v>
      </c>
      <c r="AY27" s="26">
        <f t="shared" si="21"/>
        <v>62</v>
      </c>
      <c r="AZ27" s="26">
        <f t="shared" si="22"/>
        <v>14.5</v>
      </c>
      <c r="BA27" s="51">
        <v>22</v>
      </c>
      <c r="BB27" s="25">
        <f t="shared" si="23"/>
        <v>30.7</v>
      </c>
      <c r="BC27" s="25">
        <f t="shared" si="24"/>
        <v>0.7</v>
      </c>
      <c r="BD27" s="25">
        <f t="shared" si="25"/>
        <v>30</v>
      </c>
      <c r="BE27" s="38">
        <v>80</v>
      </c>
      <c r="BF27" s="38">
        <v>0.85</v>
      </c>
      <c r="BG27" s="38">
        <v>1.65</v>
      </c>
      <c r="BH27" s="3">
        <f t="shared" si="19"/>
        <v>757.6</v>
      </c>
      <c r="BI27" s="38">
        <f t="shared" si="26"/>
        <v>1000</v>
      </c>
      <c r="BJ27" s="62">
        <f t="shared" si="27"/>
        <v>1000</v>
      </c>
      <c r="BK27" s="62">
        <f t="shared" si="28"/>
        <v>1000</v>
      </c>
      <c r="BL27" s="62">
        <f t="shared" si="29"/>
        <v>1000</v>
      </c>
    </row>
    <row r="28" spans="2:64" ht="13" customHeight="1" thickBot="1">
      <c r="B28" s="18" t="s">
        <v>14</v>
      </c>
      <c r="C28" s="103"/>
      <c r="D28" s="20"/>
      <c r="E28" s="19"/>
      <c r="F28" s="19"/>
      <c r="G28" s="65"/>
      <c r="H28" s="19"/>
      <c r="I28" s="119">
        <f>SUM(I18:I27)</f>
        <v>7065.14</v>
      </c>
      <c r="J28" s="37" t="str">
        <f t="shared" si="0"/>
        <v/>
      </c>
      <c r="K28" s="120"/>
      <c r="L28" s="121"/>
      <c r="M28" s="119">
        <f>SUM(M18:M27)</f>
        <v>479.17</v>
      </c>
      <c r="N28" s="37" t="str">
        <f t="shared" si="2"/>
        <v/>
      </c>
      <c r="O28" s="122">
        <f>SUM(O18:O27)</f>
        <v>7544.31</v>
      </c>
      <c r="P28" s="37" t="str">
        <f t="shared" si="4"/>
        <v/>
      </c>
      <c r="Q28" s="122"/>
      <c r="R28" s="37" t="str">
        <f t="shared" si="5"/>
        <v/>
      </c>
      <c r="S28" s="122"/>
      <c r="T28" s="37" t="str">
        <f t="shared" si="6"/>
        <v/>
      </c>
      <c r="U28" s="122"/>
      <c r="V28" s="37" t="str">
        <f t="shared" si="7"/>
        <v/>
      </c>
      <c r="W28" s="122"/>
      <c r="X28" s="37" t="str">
        <f t="shared" si="8"/>
        <v/>
      </c>
      <c r="Y28" s="122"/>
      <c r="Z28" s="37" t="str">
        <f t="shared" si="9"/>
        <v/>
      </c>
      <c r="AA28" s="122"/>
      <c r="AB28" s="37" t="str">
        <f t="shared" si="10"/>
        <v/>
      </c>
      <c r="AC28" s="122"/>
      <c r="AD28" s="37" t="str">
        <f t="shared" si="11"/>
        <v/>
      </c>
      <c r="AE28" s="122"/>
      <c r="AF28" s="37" t="str">
        <f t="shared" si="12"/>
        <v/>
      </c>
      <c r="AG28" s="122"/>
      <c r="AH28" s="37" t="str">
        <f t="shared" si="13"/>
        <v/>
      </c>
      <c r="AI28" s="91"/>
      <c r="AJ28" s="122"/>
      <c r="AK28" s="37" t="str">
        <f t="shared" si="14"/>
        <v/>
      </c>
      <c r="AL28" s="122"/>
      <c r="AM28" s="37" t="str">
        <f t="shared" si="15"/>
        <v/>
      </c>
      <c r="AN28" s="122"/>
      <c r="AO28" s="37" t="str">
        <f t="shared" si="16"/>
        <v/>
      </c>
      <c r="AP28" s="122"/>
      <c r="AQ28" s="37" t="str">
        <f t="shared" si="17"/>
        <v/>
      </c>
      <c r="AR28" s="122"/>
      <c r="AS28" s="37" t="str">
        <f t="shared" si="18"/>
        <v/>
      </c>
      <c r="AT28" s="99"/>
      <c r="AU28" s="70">
        <f>SUM(AU18:AU27)</f>
        <v>7065.14</v>
      </c>
      <c r="AV28" s="70">
        <f>SUM(AV18:AV27)</f>
        <v>479.17</v>
      </c>
      <c r="AW28" s="48"/>
      <c r="AX28" s="70">
        <f t="shared" ref="AX28:BL28" si="30">SUM(AX18:AX27)</f>
        <v>7544.31</v>
      </c>
      <c r="AY28" s="70">
        <f t="shared" si="30"/>
        <v>467.75</v>
      </c>
      <c r="AZ28" s="70">
        <f t="shared" si="30"/>
        <v>109.4</v>
      </c>
      <c r="BA28" s="70">
        <f t="shared" si="30"/>
        <v>461</v>
      </c>
      <c r="BB28" s="70">
        <f t="shared" si="30"/>
        <v>231.61</v>
      </c>
      <c r="BC28" s="70">
        <f t="shared" si="30"/>
        <v>5.29</v>
      </c>
      <c r="BD28" s="70">
        <f t="shared" si="30"/>
        <v>226.31</v>
      </c>
      <c r="BE28" s="70">
        <f t="shared" si="30"/>
        <v>440</v>
      </c>
      <c r="BF28" s="70">
        <f t="shared" si="30"/>
        <v>6.8</v>
      </c>
      <c r="BG28" s="70">
        <f t="shared" si="30"/>
        <v>16.5</v>
      </c>
      <c r="BH28" s="70">
        <f t="shared" si="30"/>
        <v>5579.65</v>
      </c>
      <c r="BI28" s="70">
        <f t="shared" si="30"/>
        <v>7544.31</v>
      </c>
      <c r="BJ28" s="70">
        <f t="shared" si="30"/>
        <v>7544.31</v>
      </c>
      <c r="BK28" s="70">
        <f t="shared" si="30"/>
        <v>7544.31</v>
      </c>
      <c r="BL28" s="70">
        <f t="shared" si="30"/>
        <v>7544.31</v>
      </c>
    </row>
    <row r="29" spans="2:64" ht="13" thickTop="1"/>
    <row r="31" spans="2:64" ht="13" customHeight="1">
      <c r="D31" s="211" t="s">
        <v>25</v>
      </c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</row>
    <row r="32" spans="2:64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4:57" ht="13">
      <c r="D33" s="58"/>
      <c r="E33" s="213" t="s">
        <v>22</v>
      </c>
      <c r="F33" s="213"/>
      <c r="G33" s="58"/>
      <c r="H33" s="213" t="s">
        <v>21</v>
      </c>
      <c r="I33" s="213"/>
      <c r="J33" s="213"/>
      <c r="K33" s="213"/>
      <c r="L33" s="57"/>
      <c r="M33" s="58" t="s">
        <v>23</v>
      </c>
      <c r="N33" s="57"/>
      <c r="O33" s="58" t="s">
        <v>24</v>
      </c>
      <c r="P33" s="57"/>
      <c r="S33" s="4"/>
      <c r="T33" s="4"/>
      <c r="U33" s="105" t="s">
        <v>96</v>
      </c>
      <c r="V33" s="4"/>
      <c r="W33" s="4"/>
      <c r="X33" s="4"/>
      <c r="Y33" s="105" t="s">
        <v>93</v>
      </c>
      <c r="Z33" s="4"/>
    </row>
    <row r="34" spans="4:57" ht="13">
      <c r="D34" s="4"/>
      <c r="E34" s="4" t="s">
        <v>20</v>
      </c>
      <c r="F34" s="4"/>
      <c r="G34" s="4"/>
      <c r="H34" s="214"/>
      <c r="I34" s="214"/>
      <c r="J34" s="214"/>
      <c r="K34" s="214"/>
      <c r="L34" s="4"/>
      <c r="M34" s="4"/>
      <c r="N34" s="4"/>
      <c r="O34" s="4"/>
      <c r="P34" s="4"/>
      <c r="S34" s="4"/>
      <c r="T34" s="4"/>
      <c r="U34" s="105" t="s">
        <v>97</v>
      </c>
      <c r="V34" s="4"/>
      <c r="W34" s="105" t="s">
        <v>98</v>
      </c>
      <c r="X34" s="4"/>
      <c r="Y34" s="105" t="s">
        <v>100</v>
      </c>
      <c r="Z34" s="4"/>
    </row>
    <row r="35" spans="4:57" ht="15.5">
      <c r="D35" s="4"/>
      <c r="E35" s="208" t="s">
        <v>70</v>
      </c>
      <c r="F35" s="209"/>
      <c r="G35" s="4" t="s">
        <v>53</v>
      </c>
      <c r="H35" s="4"/>
      <c r="I35" s="4"/>
      <c r="J35" s="4"/>
      <c r="K35" s="4"/>
      <c r="L35" s="39"/>
      <c r="M35" s="163"/>
      <c r="N35" s="39" t="str">
        <f>IF(OR(M35="",M35=AV35),"","*")</f>
        <v/>
      </c>
      <c r="O35" s="4"/>
      <c r="P35" s="4"/>
      <c r="S35" s="4" t="s">
        <v>99</v>
      </c>
      <c r="T35" s="4"/>
      <c r="U35" s="191"/>
      <c r="V35" s="159" t="str">
        <f>IF(OR(U35="",U35=BC39),"","*")</f>
        <v/>
      </c>
      <c r="W35" s="192"/>
      <c r="X35" s="155" t="str">
        <f>IF(OR(W35="",W35=BD39),"","*")</f>
        <v/>
      </c>
      <c r="Y35" s="191"/>
      <c r="Z35" s="155" t="str">
        <f>IF(OR(Y35="",Y35=BE39),"","*")</f>
        <v/>
      </c>
      <c r="AV35" s="56">
        <f>AX28</f>
        <v>7544.31</v>
      </c>
      <c r="AX35" s="4"/>
    </row>
    <row r="36" spans="4:57" ht="15">
      <c r="D36" s="4"/>
      <c r="E36" s="208"/>
      <c r="F36" s="209"/>
      <c r="G36" s="59"/>
      <c r="H36" s="4" t="s">
        <v>54</v>
      </c>
      <c r="I36" s="4"/>
      <c r="J36" s="4"/>
      <c r="K36" s="4"/>
      <c r="L36" s="39"/>
      <c r="M36" s="4"/>
      <c r="N36" s="39" t="s">
        <v>52</v>
      </c>
      <c r="O36" s="163"/>
      <c r="P36" s="39" t="str">
        <f t="shared" ref="P36:P45" si="31">IF(OR(O36="",O36=AX36),"","*")</f>
        <v/>
      </c>
      <c r="S36" s="4"/>
      <c r="T36" s="4"/>
      <c r="U36" s="160"/>
      <c r="V36" s="4"/>
      <c r="W36" s="160"/>
      <c r="X36" s="4"/>
      <c r="Y36" s="161" t="s">
        <v>101</v>
      </c>
      <c r="Z36" s="4"/>
      <c r="AV36" s="4"/>
      <c r="AX36" s="56">
        <f>AY28</f>
        <v>467.75</v>
      </c>
    </row>
    <row r="37" spans="4:57" ht="15.5">
      <c r="D37" s="4"/>
      <c r="E37" s="4"/>
      <c r="F37" s="4"/>
      <c r="G37" s="59"/>
      <c r="H37" s="4" t="s">
        <v>55</v>
      </c>
      <c r="I37" s="4"/>
      <c r="J37" s="4"/>
      <c r="K37" s="4"/>
      <c r="L37" s="39"/>
      <c r="M37" s="4"/>
      <c r="N37" s="39" t="s">
        <v>52</v>
      </c>
      <c r="O37" s="163"/>
      <c r="P37" s="39" t="str">
        <f t="shared" si="31"/>
        <v/>
      </c>
      <c r="S37" s="4" t="s">
        <v>16</v>
      </c>
      <c r="T37" s="4"/>
      <c r="U37" s="191"/>
      <c r="V37" s="155" t="str">
        <f>IF(OR(U37="",U37=BC41),"","*")</f>
        <v/>
      </c>
      <c r="W37" s="198"/>
      <c r="X37" s="155" t="str">
        <f>IF(OR(W37="",W37=BD41),"","*")</f>
        <v/>
      </c>
      <c r="Y37" s="191"/>
      <c r="Z37" s="155" t="str">
        <f>IF(OR(Y37="",Y37=BE41),"","*")</f>
        <v/>
      </c>
      <c r="AV37" s="4"/>
      <c r="AX37" s="56">
        <f>AZ28</f>
        <v>109.4</v>
      </c>
      <c r="BC37" s="140" t="s">
        <v>96</v>
      </c>
    </row>
    <row r="38" spans="4:57" ht="15">
      <c r="D38" s="4"/>
      <c r="E38" s="4"/>
      <c r="F38" s="4"/>
      <c r="G38" s="59"/>
      <c r="H38" s="4" t="s">
        <v>56</v>
      </c>
      <c r="I38" s="4"/>
      <c r="J38" s="4"/>
      <c r="K38" s="4"/>
      <c r="L38" s="39"/>
      <c r="M38" s="4"/>
      <c r="N38" s="39" t="s">
        <v>52</v>
      </c>
      <c r="O38" s="163"/>
      <c r="P38" s="39" t="str">
        <f t="shared" si="31"/>
        <v/>
      </c>
      <c r="AV38" s="4"/>
      <c r="AX38" s="56">
        <f>BA28</f>
        <v>461</v>
      </c>
      <c r="BC38" s="140" t="s">
        <v>102</v>
      </c>
      <c r="BD38" s="140" t="s">
        <v>98</v>
      </c>
      <c r="BE38" s="140" t="s">
        <v>99</v>
      </c>
    </row>
    <row r="39" spans="4:57" ht="15">
      <c r="D39" s="4"/>
      <c r="E39" s="4"/>
      <c r="F39" s="4"/>
      <c r="G39" s="4"/>
      <c r="H39" s="4" t="s">
        <v>57</v>
      </c>
      <c r="I39" s="4"/>
      <c r="J39" s="4"/>
      <c r="K39" s="4"/>
      <c r="L39" s="39"/>
      <c r="M39" s="4"/>
      <c r="N39" s="4"/>
      <c r="O39" s="163"/>
      <c r="P39" s="39" t="str">
        <f t="shared" si="31"/>
        <v/>
      </c>
      <c r="AV39" s="4"/>
      <c r="AX39" s="56">
        <f>BB28</f>
        <v>231.61</v>
      </c>
      <c r="BC39" s="158">
        <f>BK28</f>
        <v>7544.31</v>
      </c>
      <c r="BD39">
        <f>BK16</f>
        <v>6.0000000000000001E-3</v>
      </c>
      <c r="BE39" s="158">
        <f>BC39*BD39</f>
        <v>45.27</v>
      </c>
    </row>
    <row r="40" spans="4:57" ht="15">
      <c r="D40" s="4"/>
      <c r="E40" s="208"/>
      <c r="F40" s="209"/>
      <c r="G40" s="59"/>
      <c r="H40" s="4" t="s">
        <v>58</v>
      </c>
      <c r="I40" s="4"/>
      <c r="J40" s="4"/>
      <c r="K40" s="4"/>
      <c r="L40" s="39"/>
      <c r="M40" s="4"/>
      <c r="N40" s="39" t="s">
        <v>52</v>
      </c>
      <c r="O40" s="163"/>
      <c r="P40" s="39" t="str">
        <f t="shared" si="31"/>
        <v/>
      </c>
      <c r="AV40" s="4"/>
      <c r="AX40" s="56">
        <f>BC28</f>
        <v>5.29</v>
      </c>
      <c r="BE40" s="140" t="s">
        <v>16</v>
      </c>
    </row>
    <row r="41" spans="4:57" ht="15">
      <c r="D41" s="4"/>
      <c r="E41" s="4"/>
      <c r="F41" s="4"/>
      <c r="G41" s="59"/>
      <c r="H41" s="4" t="s">
        <v>59</v>
      </c>
      <c r="I41" s="4"/>
      <c r="J41" s="4"/>
      <c r="K41" s="4"/>
      <c r="L41" s="39"/>
      <c r="M41" s="4"/>
      <c r="N41" s="39" t="s">
        <v>52</v>
      </c>
      <c r="O41" s="163"/>
      <c r="P41" s="39" t="str">
        <f t="shared" si="31"/>
        <v/>
      </c>
      <c r="AV41" s="4"/>
      <c r="AX41" s="56">
        <f>BD28</f>
        <v>226.31</v>
      </c>
      <c r="BC41" s="158">
        <f>BL28</f>
        <v>7544.31</v>
      </c>
      <c r="BD41">
        <f>BL16</f>
        <v>3.6784999999999998E-2</v>
      </c>
      <c r="BE41" s="158">
        <f>BC41*BD41</f>
        <v>277.52</v>
      </c>
    </row>
    <row r="42" spans="4:57" ht="15">
      <c r="D42" s="4"/>
      <c r="E42" s="4"/>
      <c r="F42" s="4"/>
      <c r="G42" s="59"/>
      <c r="H42" s="4" t="s">
        <v>60</v>
      </c>
      <c r="I42" s="4"/>
      <c r="J42" s="4"/>
      <c r="K42" s="4"/>
      <c r="L42" s="39"/>
      <c r="M42" s="4"/>
      <c r="N42" s="39" t="s">
        <v>52</v>
      </c>
      <c r="O42" s="163"/>
      <c r="P42" s="39" t="str">
        <f t="shared" si="31"/>
        <v/>
      </c>
      <c r="AV42" s="4"/>
      <c r="AX42" s="56">
        <f>BE28</f>
        <v>440</v>
      </c>
    </row>
    <row r="43" spans="4:57" ht="15">
      <c r="D43" s="4"/>
      <c r="E43" s="4"/>
      <c r="F43" s="4"/>
      <c r="G43" s="4"/>
      <c r="H43" s="4" t="s">
        <v>61</v>
      </c>
      <c r="I43" s="4"/>
      <c r="J43" s="4"/>
      <c r="K43" s="4"/>
      <c r="L43" s="39"/>
      <c r="M43" s="4"/>
      <c r="N43" s="4"/>
      <c r="O43" s="163"/>
      <c r="P43" s="39" t="str">
        <f t="shared" si="31"/>
        <v/>
      </c>
      <c r="AV43" s="4"/>
      <c r="AX43" s="56">
        <f>BF28</f>
        <v>6.8</v>
      </c>
    </row>
    <row r="44" spans="4:57" ht="15">
      <c r="D44" s="4"/>
      <c r="E44" s="4"/>
      <c r="F44" s="4"/>
      <c r="G44" s="4"/>
      <c r="H44" s="4" t="s">
        <v>62</v>
      </c>
      <c r="I44" s="4"/>
      <c r="J44" s="4"/>
      <c r="K44" s="4"/>
      <c r="L44" s="39"/>
      <c r="M44" s="4"/>
      <c r="N44" s="39" t="s">
        <v>52</v>
      </c>
      <c r="O44" s="163"/>
      <c r="P44" s="39" t="str">
        <f t="shared" si="31"/>
        <v/>
      </c>
      <c r="AV44" s="4"/>
      <c r="AX44" s="56">
        <f>BG28</f>
        <v>16.5</v>
      </c>
    </row>
    <row r="45" spans="4:57" ht="15">
      <c r="D45" s="4"/>
      <c r="E45" s="4"/>
      <c r="F45" s="4"/>
      <c r="G45" s="4"/>
      <c r="H45" s="4" t="s">
        <v>63</v>
      </c>
      <c r="I45" s="4"/>
      <c r="J45" s="4"/>
      <c r="K45" s="4"/>
      <c r="L45" s="39"/>
      <c r="M45" s="4"/>
      <c r="N45" s="4"/>
      <c r="O45" s="163"/>
      <c r="P45" s="39" t="str">
        <f t="shared" si="31"/>
        <v/>
      </c>
      <c r="AV45" s="4"/>
      <c r="AX45" s="56">
        <f>AV35-SUM(AX36:AX44)</f>
        <v>5579.65</v>
      </c>
    </row>
    <row r="46" spans="4:57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AV46" s="4"/>
      <c r="AX46" s="4"/>
    </row>
    <row r="47" spans="4:57" ht="15">
      <c r="D47" s="4"/>
      <c r="E47" s="210" t="s">
        <v>71</v>
      </c>
      <c r="F47" s="209"/>
      <c r="G47" s="4" t="s">
        <v>67</v>
      </c>
      <c r="H47" s="4"/>
      <c r="I47" s="4"/>
      <c r="J47" s="4"/>
      <c r="K47" s="4"/>
      <c r="L47" s="39"/>
      <c r="M47" s="163"/>
      <c r="N47" s="39" t="str">
        <f>IF(OR(M47="",M47=AV47),"","*")</f>
        <v/>
      </c>
      <c r="O47" s="4"/>
      <c r="P47" s="4"/>
      <c r="AV47" s="56">
        <f>SUM(AX48:AX51)</f>
        <v>899.93</v>
      </c>
      <c r="AX47" s="4"/>
    </row>
    <row r="48" spans="4:57" ht="15">
      <c r="D48" s="4"/>
      <c r="E48" s="4"/>
      <c r="F48" s="4"/>
      <c r="G48" s="59"/>
      <c r="H48" s="4" t="s">
        <v>54</v>
      </c>
      <c r="I48" s="4"/>
      <c r="J48" s="4"/>
      <c r="K48" s="4"/>
      <c r="L48" s="39"/>
      <c r="M48" s="4"/>
      <c r="N48" s="39" t="s">
        <v>52</v>
      </c>
      <c r="O48" s="163"/>
      <c r="P48" s="39" t="str">
        <f>IF(OR(O48="",O48=AX48),"","*")</f>
        <v/>
      </c>
      <c r="AV48" s="4"/>
      <c r="AX48" s="56">
        <f>BI28*0.062</f>
        <v>467.75</v>
      </c>
    </row>
    <row r="49" spans="4:50" ht="15">
      <c r="D49" s="4"/>
      <c r="E49" s="4"/>
      <c r="F49" s="4"/>
      <c r="G49" s="59"/>
      <c r="H49" s="4" t="s">
        <v>55</v>
      </c>
      <c r="I49" s="4"/>
      <c r="J49" s="4"/>
      <c r="K49" s="4"/>
      <c r="L49" s="39"/>
      <c r="M49" s="4"/>
      <c r="N49" s="39" t="s">
        <v>52</v>
      </c>
      <c r="O49" s="163"/>
      <c r="P49" s="39" t="str">
        <f>IF(OR(O49="",O49=AX49),"","*")</f>
        <v/>
      </c>
      <c r="AV49" s="4"/>
      <c r="AX49" s="56">
        <f>BJ28*0.0145</f>
        <v>109.39</v>
      </c>
    </row>
    <row r="50" spans="4:50" ht="15">
      <c r="D50" s="4"/>
      <c r="E50" s="4"/>
      <c r="F50" s="4"/>
      <c r="G50" s="59"/>
      <c r="H50" s="4" t="s">
        <v>68</v>
      </c>
      <c r="I50" s="4"/>
      <c r="J50" s="4"/>
      <c r="K50" s="4"/>
      <c r="L50" s="39"/>
      <c r="M50" s="4"/>
      <c r="N50" s="39" t="s">
        <v>52</v>
      </c>
      <c r="O50" s="163"/>
      <c r="P50" s="39" t="str">
        <f>IF(OR(O50="",O50=AX50),"","*")</f>
        <v/>
      </c>
      <c r="AV50" s="4"/>
      <c r="AX50" s="56">
        <f>BE39</f>
        <v>45.27</v>
      </c>
    </row>
    <row r="51" spans="4:50" ht="15">
      <c r="D51" s="4"/>
      <c r="E51" s="4"/>
      <c r="F51" s="4"/>
      <c r="G51" s="4"/>
      <c r="H51" s="4" t="s">
        <v>69</v>
      </c>
      <c r="I51" s="4"/>
      <c r="J51" s="4"/>
      <c r="K51" s="4"/>
      <c r="L51" s="39"/>
      <c r="M51" s="4"/>
      <c r="N51" s="4"/>
      <c r="O51" s="163"/>
      <c r="P51" s="39" t="str">
        <f>IF(OR(O51="",O51=AX51),"","*")</f>
        <v/>
      </c>
      <c r="AV51" s="4"/>
      <c r="AX51" s="56">
        <f>BE41</f>
        <v>277.52</v>
      </c>
    </row>
    <row r="52" spans="4:50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AV52" s="4"/>
      <c r="AX52" s="4"/>
    </row>
    <row r="53" spans="4:50" ht="15">
      <c r="D53" s="4"/>
      <c r="E53" s="210" t="s">
        <v>64</v>
      </c>
      <c r="F53" s="209"/>
      <c r="G53" s="4" t="s">
        <v>65</v>
      </c>
      <c r="H53" s="4"/>
      <c r="I53" s="4"/>
      <c r="J53" s="4"/>
      <c r="K53" s="4"/>
      <c r="L53" s="39"/>
      <c r="M53" s="163"/>
      <c r="N53" s="39" t="str">
        <f>IF(OR(M53="",M53=AV53),"","*")</f>
        <v/>
      </c>
      <c r="O53" s="4"/>
      <c r="P53" s="4"/>
      <c r="AV53" s="56">
        <f>AX45</f>
        <v>5579.65</v>
      </c>
      <c r="AX53" s="4"/>
    </row>
    <row r="54" spans="4:50" ht="15">
      <c r="D54" s="4"/>
      <c r="E54" s="4"/>
      <c r="F54" s="4"/>
      <c r="G54" s="59"/>
      <c r="H54" s="4" t="s">
        <v>66</v>
      </c>
      <c r="I54" s="4"/>
      <c r="J54" s="4"/>
      <c r="K54" s="4"/>
      <c r="L54" s="39"/>
      <c r="M54" s="4"/>
      <c r="N54" s="39" t="s">
        <v>52</v>
      </c>
      <c r="O54" s="163"/>
      <c r="P54" s="39" t="str">
        <f>IF(OR(O54="",O54=AX54),"","*")</f>
        <v/>
      </c>
      <c r="AV54" s="4"/>
      <c r="AX54" s="56">
        <f>AX45</f>
        <v>5579.65</v>
      </c>
    </row>
    <row r="55" spans="4:50"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</sheetData>
  <sheetProtection password="F4C4" sheet="1" objects="1" scenarios="1"/>
  <mergeCells count="33">
    <mergeCell ref="B10:AK10"/>
    <mergeCell ref="F14:F17"/>
    <mergeCell ref="B11:AS11"/>
    <mergeCell ref="E40:F40"/>
    <mergeCell ref="E47:F47"/>
    <mergeCell ref="B16:D16"/>
    <mergeCell ref="Q16:S16"/>
    <mergeCell ref="AE16:AF16"/>
    <mergeCell ref="B17:D17"/>
    <mergeCell ref="AE17:AF17"/>
    <mergeCell ref="E53:F53"/>
    <mergeCell ref="D31:P31"/>
    <mergeCell ref="H33:K33"/>
    <mergeCell ref="H34:K34"/>
    <mergeCell ref="E35:F35"/>
    <mergeCell ref="E33:F33"/>
    <mergeCell ref="E36:F36"/>
    <mergeCell ref="C1:L1"/>
    <mergeCell ref="AL14:AS14"/>
    <mergeCell ref="G15:G17"/>
    <mergeCell ref="H15:H17"/>
    <mergeCell ref="K15:K17"/>
    <mergeCell ref="L15:L17"/>
    <mergeCell ref="Q15:S15"/>
    <mergeCell ref="AG17:AH17"/>
    <mergeCell ref="G14:J14"/>
    <mergeCell ref="K14:N14"/>
    <mergeCell ref="E12:I12"/>
    <mergeCell ref="Q14:AG14"/>
    <mergeCell ref="AI14:AK14"/>
    <mergeCell ref="B8:AS8"/>
    <mergeCell ref="E14:E17"/>
    <mergeCell ref="B9:AK9"/>
  </mergeCells>
  <phoneticPr fontId="0" type="noConversion"/>
  <pageMargins left="0.57999999999999996" right="0.67" top="1" bottom="1" header="0.5" footer="0.5"/>
  <pageSetup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L55"/>
  <sheetViews>
    <sheetView showGridLines="0" workbookViewId="0">
      <selection activeCell="S29" sqref="S29"/>
    </sheetView>
  </sheetViews>
  <sheetFormatPr defaultRowHeight="12.5"/>
  <cols>
    <col min="1" max="1" width="1.81640625" customWidth="1"/>
    <col min="2" max="3" width="9.7265625" customWidth="1"/>
    <col min="4" max="4" width="2.7265625" customWidth="1"/>
    <col min="5" max="5" width="5.26953125" customWidth="1"/>
    <col min="6" max="7" width="5.453125" customWidth="1"/>
    <col min="9" max="9" width="10.7265625" customWidth="1"/>
    <col min="10" max="10" width="2.26953125" customWidth="1"/>
    <col min="11" max="11" width="5.453125" customWidth="1"/>
    <col min="13" max="13" width="10.7265625" customWidth="1"/>
    <col min="14" max="14" width="2.26953125" customWidth="1"/>
    <col min="15" max="15" width="10.7265625" customWidth="1"/>
    <col min="16" max="16" width="2.26953125" customWidth="1"/>
    <col min="17" max="17" width="9.26953125" customWidth="1"/>
    <col min="18" max="18" width="2.26953125" customWidth="1"/>
    <col min="20" max="20" width="2.26953125" customWidth="1"/>
    <col min="21" max="21" width="9.26953125" bestFit="1" customWidth="1"/>
    <col min="22" max="22" width="2.26953125" customWidth="1"/>
    <col min="23" max="23" width="10.6328125" bestFit="1" customWidth="1"/>
    <col min="24" max="24" width="2.26953125" customWidth="1"/>
    <col min="26" max="26" width="2.26953125" customWidth="1"/>
    <col min="28" max="28" width="2.26953125" customWidth="1"/>
    <col min="30" max="30" width="2.26953125" customWidth="1"/>
    <col min="31" max="31" width="9.26953125" customWidth="1"/>
    <col min="32" max="32" width="2.26953125" customWidth="1"/>
    <col min="34" max="34" width="2.26953125" customWidth="1"/>
    <col min="35" max="35" width="6.7265625" customWidth="1"/>
    <col min="36" max="36" width="10.7265625" customWidth="1"/>
    <col min="37" max="37" width="2.26953125" customWidth="1"/>
    <col min="38" max="38" width="9.90625" customWidth="1"/>
    <col min="39" max="39" width="2.26953125" customWidth="1"/>
    <col min="40" max="40" width="9.90625" customWidth="1"/>
    <col min="41" max="41" width="2.26953125" customWidth="1"/>
    <col min="42" max="42" width="9.90625" customWidth="1"/>
    <col min="43" max="43" width="2.26953125" customWidth="1"/>
    <col min="44" max="44" width="9.7265625" customWidth="1"/>
    <col min="45" max="45" width="2.7265625" customWidth="1"/>
    <col min="46" max="46" width="10.7265625" hidden="1" customWidth="1"/>
    <col min="47" max="47" width="9.1796875" hidden="1" customWidth="1"/>
    <col min="48" max="51" width="10.7265625" hidden="1" customWidth="1"/>
    <col min="52" max="55" width="9.1796875" hidden="1" customWidth="1"/>
    <col min="56" max="56" width="10.7265625" hidden="1" customWidth="1"/>
    <col min="57" max="64" width="9.1796875" hidden="1" customWidth="1"/>
  </cols>
  <sheetData>
    <row r="1" spans="2:64" ht="12.75" customHeight="1">
      <c r="B1" s="2" t="s">
        <v>17</v>
      </c>
      <c r="C1" s="215" t="s">
        <v>72</v>
      </c>
      <c r="D1" s="215"/>
      <c r="E1" s="215"/>
      <c r="F1" s="215"/>
      <c r="G1" s="215"/>
      <c r="H1" s="215"/>
      <c r="I1" s="215"/>
      <c r="J1" s="215"/>
      <c r="K1" s="215"/>
      <c r="L1" s="215"/>
    </row>
    <row r="2" spans="2:64" ht="12.75" customHeight="1"/>
    <row r="3" spans="2:64" ht="13">
      <c r="B3" s="75" t="s">
        <v>149</v>
      </c>
    </row>
    <row r="4" spans="2:64">
      <c r="B4" s="8" t="s">
        <v>19</v>
      </c>
      <c r="C4" s="8"/>
      <c r="D4" s="8"/>
    </row>
    <row r="5" spans="2:64" ht="13">
      <c r="B5" s="75" t="s">
        <v>156</v>
      </c>
      <c r="C5" s="75"/>
      <c r="D5" s="8"/>
    </row>
    <row r="7" spans="2:64" ht="13">
      <c r="B7" s="6" t="s">
        <v>74</v>
      </c>
      <c r="C7" s="6"/>
      <c r="D7" s="7"/>
    </row>
    <row r="8" spans="2:64" ht="13">
      <c r="B8" s="214" t="s">
        <v>41</v>
      </c>
      <c r="C8" s="214"/>
      <c r="D8" s="214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1"/>
    </row>
    <row r="9" spans="2:64" ht="12.5" customHeight="1">
      <c r="B9" s="244"/>
      <c r="C9" s="244"/>
      <c r="D9" s="244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4"/>
      <c r="AM9" s="4"/>
      <c r="AN9" s="4"/>
      <c r="AO9" s="4"/>
      <c r="AP9" s="4"/>
      <c r="AQ9" s="4"/>
      <c r="AR9" s="4"/>
      <c r="AS9" s="4"/>
      <c r="AT9" s="1"/>
    </row>
    <row r="10" spans="2:64" ht="12.75" customHeight="1">
      <c r="B10" s="244"/>
      <c r="C10" s="244"/>
      <c r="D10" s="244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4"/>
      <c r="AM10" s="4"/>
      <c r="AN10" s="4"/>
      <c r="AO10" s="4"/>
      <c r="AP10" s="4"/>
      <c r="AQ10" s="4"/>
      <c r="AR10" s="4"/>
      <c r="AS10" s="4"/>
      <c r="AT10" s="1"/>
    </row>
    <row r="11" spans="2:64" ht="13" customHeight="1">
      <c r="B11" s="246" t="s">
        <v>7</v>
      </c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1"/>
    </row>
    <row r="12" spans="2:64" ht="12.5" customHeight="1">
      <c r="B12" s="40" t="s">
        <v>18</v>
      </c>
      <c r="C12" s="40"/>
      <c r="D12" s="40"/>
      <c r="E12" s="239" t="s">
        <v>42</v>
      </c>
      <c r="F12" s="240"/>
      <c r="G12" s="240"/>
      <c r="H12" s="240"/>
      <c r="I12" s="240"/>
      <c r="J12" s="12"/>
      <c r="K12" s="12"/>
      <c r="L12" s="12"/>
      <c r="M12" s="12"/>
      <c r="N12" s="22"/>
      <c r="O12" s="12"/>
      <c r="P12" s="12"/>
      <c r="Q12" s="12"/>
      <c r="R12" s="12"/>
      <c r="S12" s="12"/>
      <c r="T12" s="12"/>
      <c r="U12" s="13"/>
      <c r="V12" s="13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4"/>
      <c r="AM12" s="4"/>
      <c r="AN12" s="4"/>
      <c r="AO12" s="4"/>
      <c r="AP12" s="4"/>
      <c r="AQ12" s="4"/>
      <c r="AR12" s="4"/>
      <c r="AS12" s="4"/>
      <c r="AT12" s="1"/>
    </row>
    <row r="13" spans="2:64" ht="13" thickBo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96"/>
    </row>
    <row r="14" spans="2:64" ht="13" customHeight="1" thickTop="1">
      <c r="B14" s="15"/>
      <c r="C14" s="16"/>
      <c r="D14" s="54"/>
      <c r="E14" s="237" t="s">
        <v>10</v>
      </c>
      <c r="F14" s="247" t="s">
        <v>11</v>
      </c>
      <c r="G14" s="216" t="s">
        <v>37</v>
      </c>
      <c r="H14" s="218"/>
      <c r="I14" s="218"/>
      <c r="J14" s="219"/>
      <c r="K14" s="216" t="s">
        <v>43</v>
      </c>
      <c r="L14" s="218"/>
      <c r="M14" s="218"/>
      <c r="N14" s="219"/>
      <c r="O14" s="49"/>
      <c r="P14" s="43"/>
      <c r="Q14" s="241" t="s">
        <v>6</v>
      </c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7"/>
      <c r="AI14" s="216" t="s">
        <v>48</v>
      </c>
      <c r="AJ14" s="242"/>
      <c r="AK14" s="243"/>
      <c r="AL14" s="216" t="s">
        <v>51</v>
      </c>
      <c r="AM14" s="217"/>
      <c r="AN14" s="217"/>
      <c r="AO14" s="217"/>
      <c r="AP14" s="217"/>
      <c r="AQ14" s="218"/>
      <c r="AR14" s="218"/>
      <c r="AS14" s="219"/>
      <c r="AT14" s="97"/>
      <c r="AY14" t="s">
        <v>0</v>
      </c>
      <c r="AZ14" t="s">
        <v>1</v>
      </c>
      <c r="BA14" t="s">
        <v>3</v>
      </c>
      <c r="BB14" t="s">
        <v>4</v>
      </c>
      <c r="BC14" t="s">
        <v>16</v>
      </c>
      <c r="BD14" t="s">
        <v>5</v>
      </c>
      <c r="BE14" t="s">
        <v>44</v>
      </c>
      <c r="BF14" t="s">
        <v>136</v>
      </c>
      <c r="BG14" t="s">
        <v>46</v>
      </c>
      <c r="BH14" t="s">
        <v>48</v>
      </c>
      <c r="BI14" t="s">
        <v>0</v>
      </c>
      <c r="BJ14" t="s">
        <v>1</v>
      </c>
      <c r="BK14" t="s">
        <v>15</v>
      </c>
      <c r="BL14" t="s">
        <v>16</v>
      </c>
    </row>
    <row r="15" spans="2:64" ht="12.5" customHeight="1">
      <c r="B15" s="17"/>
      <c r="C15" s="10"/>
      <c r="D15" s="55"/>
      <c r="E15" s="238"/>
      <c r="F15" s="248"/>
      <c r="G15" s="220" t="s">
        <v>38</v>
      </c>
      <c r="H15" s="223" t="s">
        <v>39</v>
      </c>
      <c r="I15" s="9"/>
      <c r="J15" s="63"/>
      <c r="K15" s="220" t="s">
        <v>38</v>
      </c>
      <c r="L15" s="223" t="s">
        <v>39</v>
      </c>
      <c r="M15" s="9"/>
      <c r="N15" s="63"/>
      <c r="O15" s="41"/>
      <c r="P15" s="44"/>
      <c r="Q15" s="226"/>
      <c r="R15" s="226"/>
      <c r="S15" s="226"/>
      <c r="T15" s="32"/>
      <c r="U15" s="24"/>
      <c r="V15" s="28"/>
      <c r="W15" s="24"/>
      <c r="X15" s="28"/>
      <c r="Y15" s="33"/>
      <c r="Z15" s="33"/>
      <c r="AA15" s="24"/>
      <c r="AB15" s="28"/>
      <c r="AC15" s="24"/>
      <c r="AD15" s="28"/>
      <c r="AE15" s="33"/>
      <c r="AF15" s="33"/>
      <c r="AG15" s="24"/>
      <c r="AH15" s="28"/>
      <c r="AI15" s="87"/>
      <c r="AJ15" s="11"/>
      <c r="AK15" s="23"/>
      <c r="AL15" s="24"/>
      <c r="AM15" s="28"/>
      <c r="AN15" s="24"/>
      <c r="AO15" s="28"/>
      <c r="AP15" s="24"/>
      <c r="AQ15" s="28"/>
      <c r="AR15" s="24"/>
      <c r="AS15" s="28"/>
      <c r="AT15" s="98"/>
      <c r="AY15">
        <v>6.2E-2</v>
      </c>
      <c r="AZ15">
        <v>1.4500000000000001E-2</v>
      </c>
      <c r="BB15">
        <v>3.0700000000000002E-2</v>
      </c>
      <c r="BC15">
        <v>6.9999999999999999E-4</v>
      </c>
      <c r="BD15">
        <v>0.03</v>
      </c>
      <c r="BF15" t="s">
        <v>137</v>
      </c>
      <c r="BG15" t="s">
        <v>137</v>
      </c>
      <c r="BI15">
        <v>6.2E-2</v>
      </c>
      <c r="BJ15">
        <v>1.4500000000000001E-2</v>
      </c>
      <c r="BK15">
        <v>6.0000000000000001E-3</v>
      </c>
      <c r="BL15">
        <v>3.6784999999999998E-2</v>
      </c>
    </row>
    <row r="16" spans="2:64">
      <c r="B16" s="229"/>
      <c r="C16" s="230"/>
      <c r="D16" s="231"/>
      <c r="E16" s="238"/>
      <c r="F16" s="248"/>
      <c r="G16" s="221"/>
      <c r="H16" s="224"/>
      <c r="I16" s="11"/>
      <c r="J16" s="23"/>
      <c r="K16" s="221"/>
      <c r="L16" s="224"/>
      <c r="M16" s="11"/>
      <c r="N16" s="23"/>
      <c r="O16" s="42" t="s">
        <v>12</v>
      </c>
      <c r="P16" s="45"/>
      <c r="Q16" s="232" t="s">
        <v>2</v>
      </c>
      <c r="R16" s="232"/>
      <c r="S16" s="232"/>
      <c r="T16" s="33"/>
      <c r="U16" s="24"/>
      <c r="V16" s="29"/>
      <c r="W16" s="24"/>
      <c r="X16" s="29"/>
      <c r="Y16" s="33"/>
      <c r="Z16" s="33"/>
      <c r="AA16" s="24"/>
      <c r="AB16" s="29"/>
      <c r="AC16" s="24"/>
      <c r="AD16" s="29"/>
      <c r="AE16" s="233" t="s">
        <v>47</v>
      </c>
      <c r="AF16" s="234"/>
      <c r="AG16" s="86" t="s">
        <v>46</v>
      </c>
      <c r="AH16" s="29"/>
      <c r="AI16" s="88" t="s">
        <v>49</v>
      </c>
      <c r="AJ16" s="11"/>
      <c r="AK16" s="23"/>
      <c r="AL16" s="24"/>
      <c r="AM16" s="29"/>
      <c r="AN16" s="24"/>
      <c r="AO16" s="29"/>
      <c r="AP16" s="24"/>
      <c r="AQ16" s="29"/>
      <c r="AR16" s="24"/>
      <c r="AS16" s="29"/>
      <c r="AT16" s="98"/>
    </row>
    <row r="17" spans="2:64" ht="16" customHeight="1">
      <c r="B17" s="235" t="s">
        <v>26</v>
      </c>
      <c r="C17" s="232"/>
      <c r="D17" s="236"/>
      <c r="E17" s="238"/>
      <c r="F17" s="248"/>
      <c r="G17" s="222"/>
      <c r="H17" s="225"/>
      <c r="I17" s="72" t="s">
        <v>40</v>
      </c>
      <c r="J17" s="64"/>
      <c r="K17" s="222"/>
      <c r="L17" s="225"/>
      <c r="M17" s="72" t="s">
        <v>40</v>
      </c>
      <c r="N17" s="64"/>
      <c r="O17" s="93" t="s">
        <v>13</v>
      </c>
      <c r="P17" s="46"/>
      <c r="Q17" s="81" t="s">
        <v>0</v>
      </c>
      <c r="R17" s="82"/>
      <c r="S17" s="83" t="s">
        <v>1</v>
      </c>
      <c r="T17" s="34"/>
      <c r="U17" s="85" t="s">
        <v>3</v>
      </c>
      <c r="V17" s="31"/>
      <c r="W17" s="72" t="s">
        <v>4</v>
      </c>
      <c r="X17" s="29"/>
      <c r="Y17" s="72" t="s">
        <v>16</v>
      </c>
      <c r="Z17" s="30"/>
      <c r="AA17" s="85" t="s">
        <v>5</v>
      </c>
      <c r="AB17" s="29"/>
      <c r="AC17" s="85" t="s">
        <v>44</v>
      </c>
      <c r="AD17" s="29"/>
      <c r="AE17" s="227" t="s">
        <v>45</v>
      </c>
      <c r="AF17" s="228"/>
      <c r="AG17" s="227" t="s">
        <v>45</v>
      </c>
      <c r="AH17" s="228"/>
      <c r="AI17" s="89" t="s">
        <v>50</v>
      </c>
      <c r="AJ17" s="84" t="s">
        <v>40</v>
      </c>
      <c r="AK17" s="21"/>
      <c r="AL17" s="85" t="s">
        <v>0</v>
      </c>
      <c r="AM17" s="29"/>
      <c r="AN17" s="85" t="s">
        <v>1</v>
      </c>
      <c r="AO17" s="29"/>
      <c r="AP17" s="85" t="s">
        <v>15</v>
      </c>
      <c r="AQ17" s="29"/>
      <c r="AR17" s="85" t="s">
        <v>16</v>
      </c>
      <c r="AS17" s="29"/>
      <c r="AT17" s="98"/>
    </row>
    <row r="18" spans="2:64" ht="15">
      <c r="B18" s="60" t="s">
        <v>27</v>
      </c>
      <c r="C18" s="102"/>
      <c r="D18" s="20"/>
      <c r="E18" s="194"/>
      <c r="F18" s="194"/>
      <c r="G18" s="176">
        <v>40</v>
      </c>
      <c r="H18" s="177">
        <v>17.5</v>
      </c>
      <c r="I18" s="73">
        <f>G18*H18</f>
        <v>700</v>
      </c>
      <c r="J18" s="35" t="str">
        <f t="shared" ref="J18:J28" si="0">IF(OR(I18="",I18=AU18),"","*")</f>
        <v/>
      </c>
      <c r="K18" s="77"/>
      <c r="L18" s="80"/>
      <c r="M18" s="66">
        <f t="shared" ref="M18:M23" si="1">K18*L18</f>
        <v>0</v>
      </c>
      <c r="N18" s="35" t="str">
        <f t="shared" ref="N18:N28" si="2">IF(OR(M18="",M18=AV18),"","*")</f>
        <v/>
      </c>
      <c r="O18" s="52">
        <f t="shared" ref="O18:O27" si="3">I18+M18</f>
        <v>700</v>
      </c>
      <c r="P18" s="35" t="str">
        <f t="shared" ref="P18:P28" si="4">IF(OR(O18="",O18=AX18),"","*")</f>
        <v/>
      </c>
      <c r="Q18" s="133">
        <f>O18*0.062</f>
        <v>43.4</v>
      </c>
      <c r="R18" s="35" t="str">
        <f t="shared" ref="R18:R28" si="5">IF(OR(Q18="",Q18=AY18),"","*")</f>
        <v/>
      </c>
      <c r="S18" s="134">
        <f>O18*0.0145</f>
        <v>10.15</v>
      </c>
      <c r="T18" s="35" t="str">
        <f t="shared" ref="T18:T28" si="6">IF(OR(S18="",S18=AZ18),"","*")</f>
        <v/>
      </c>
      <c r="U18" s="107"/>
      <c r="V18" s="35" t="str">
        <f t="shared" ref="V18:V28" si="7">IF(OR(U18="",U18=BA18),"","*")</f>
        <v/>
      </c>
      <c r="W18" s="134"/>
      <c r="X18" s="35" t="str">
        <f t="shared" ref="X18:X28" si="8">IF(OR(W18="",W18=BB18),"","*")</f>
        <v/>
      </c>
      <c r="Y18" s="134"/>
      <c r="Z18" s="35" t="str">
        <f t="shared" ref="Z18:Z28" si="9">IF(OR(Y18="",Y18=BC18),"","*")</f>
        <v/>
      </c>
      <c r="AA18" s="134"/>
      <c r="AB18" s="35" t="str">
        <f t="shared" ref="AB18:AB28" si="10">IF(OR(AA18="",AA18=BD18),"","*")</f>
        <v/>
      </c>
      <c r="AC18" s="134"/>
      <c r="AD18" s="35" t="str">
        <f t="shared" ref="AD18:AD28" si="11">IF(OR(AC18="",AC18=BE18),"","*")</f>
        <v/>
      </c>
      <c r="AE18" s="134"/>
      <c r="AF18" s="35" t="str">
        <f t="shared" ref="AF18:AF28" si="12">IF(OR(AE18="",AE18=BF18),"","*")</f>
        <v/>
      </c>
      <c r="AG18" s="134"/>
      <c r="AH18" s="35" t="str">
        <f t="shared" ref="AH18:AH28" si="13">IF(OR(AG18="",AG18=BG18),"","*")</f>
        <v/>
      </c>
      <c r="AI18" s="104">
        <v>313</v>
      </c>
      <c r="AJ18" s="162"/>
      <c r="AK18" s="35" t="str">
        <f t="shared" ref="AK18:AK28" si="14">IF(OR(AJ18="",AJ18=BH18),"","*")</f>
        <v/>
      </c>
      <c r="AL18" s="134">
        <f>O18</f>
        <v>700</v>
      </c>
      <c r="AM18" s="35" t="str">
        <f t="shared" ref="AM18:AM28" si="15">IF(OR(AL18="",AL18=BI18),"","*")</f>
        <v/>
      </c>
      <c r="AN18" s="134">
        <f>O18</f>
        <v>700</v>
      </c>
      <c r="AO18" s="35" t="str">
        <f t="shared" ref="AO18:AO28" si="16">IF(OR(AN18="",AN18=BJ18),"","*")</f>
        <v/>
      </c>
      <c r="AP18" s="134"/>
      <c r="AQ18" s="35" t="str">
        <f t="shared" ref="AQ18:AQ28" si="17">IF(OR(AP18="",AP18=BK18),"","*")</f>
        <v/>
      </c>
      <c r="AR18" s="134"/>
      <c r="AS18" s="35" t="str">
        <f t="shared" ref="AS18:AS28" si="18">IF(OR(AR18="",AR18=BL18),"","*")</f>
        <v/>
      </c>
      <c r="AT18" s="99"/>
      <c r="AU18" s="205">
        <v>700</v>
      </c>
      <c r="AV18" s="205"/>
      <c r="AW18" s="205"/>
      <c r="AX18" s="205">
        <f>AU18</f>
        <v>700</v>
      </c>
      <c r="AY18" s="26">
        <f>AX18*$AY$15</f>
        <v>43.4</v>
      </c>
      <c r="AZ18" s="25">
        <f>AX18*$AZ$15</f>
        <v>10.15</v>
      </c>
      <c r="BA18" s="52">
        <v>76</v>
      </c>
      <c r="BB18" s="25">
        <f>AX18*$BB$15</f>
        <v>21.49</v>
      </c>
      <c r="BC18" s="25">
        <f>AX18*$BC$15</f>
        <v>0.49</v>
      </c>
      <c r="BD18" s="25">
        <f>AX18*$BD$15</f>
        <v>21</v>
      </c>
      <c r="BE18" s="25">
        <v>20</v>
      </c>
      <c r="BF18" s="25">
        <v>0.85</v>
      </c>
      <c r="BG18" s="25">
        <v>1.65</v>
      </c>
      <c r="BH18" s="3">
        <f t="shared" ref="BH18:BH27" si="19">AX18-SUM(AY18:BG18)</f>
        <v>504.97</v>
      </c>
      <c r="BI18" s="25">
        <f>AX18</f>
        <v>700</v>
      </c>
      <c r="BJ18" s="25">
        <f>AX18</f>
        <v>700</v>
      </c>
      <c r="BK18" s="25">
        <f>AX18</f>
        <v>700</v>
      </c>
      <c r="BL18" s="25">
        <f>AX18</f>
        <v>700</v>
      </c>
    </row>
    <row r="19" spans="2:64" ht="15">
      <c r="B19" s="18" t="s">
        <v>28</v>
      </c>
      <c r="C19" s="103"/>
      <c r="D19" s="20"/>
      <c r="E19" s="194"/>
      <c r="F19" s="194"/>
      <c r="G19" s="176">
        <v>40</v>
      </c>
      <c r="H19" s="177">
        <v>17.25</v>
      </c>
      <c r="I19" s="67">
        <f>G19*H19</f>
        <v>690</v>
      </c>
      <c r="J19" s="35" t="str">
        <f t="shared" si="0"/>
        <v/>
      </c>
      <c r="K19" s="78">
        <v>8</v>
      </c>
      <c r="L19" s="94">
        <f>ROUND(H19*1.5,2)</f>
        <v>25.88</v>
      </c>
      <c r="M19" s="68">
        <f t="shared" si="1"/>
        <v>207.04</v>
      </c>
      <c r="N19" s="35" t="str">
        <f t="shared" si="2"/>
        <v/>
      </c>
      <c r="O19" s="53">
        <f t="shared" si="3"/>
        <v>897.04</v>
      </c>
      <c r="P19" s="36" t="str">
        <f t="shared" si="4"/>
        <v/>
      </c>
      <c r="Q19" s="133">
        <f t="shared" ref="Q19:Q27" si="20">O19*0.062</f>
        <v>55.62</v>
      </c>
      <c r="R19" s="36" t="str">
        <f t="shared" si="5"/>
        <v/>
      </c>
      <c r="S19" s="133">
        <f t="shared" ref="S19:S27" si="21">O19*0.0145</f>
        <v>13.01</v>
      </c>
      <c r="T19" s="36" t="str">
        <f t="shared" si="6"/>
        <v/>
      </c>
      <c r="U19" s="144"/>
      <c r="V19" s="36" t="str">
        <f t="shared" si="7"/>
        <v/>
      </c>
      <c r="W19" s="133"/>
      <c r="X19" s="36" t="str">
        <f t="shared" si="8"/>
        <v/>
      </c>
      <c r="Y19" s="134"/>
      <c r="Z19" s="36" t="str">
        <f t="shared" si="9"/>
        <v/>
      </c>
      <c r="AA19" s="133"/>
      <c r="AB19" s="36" t="str">
        <f t="shared" si="10"/>
        <v/>
      </c>
      <c r="AC19" s="133"/>
      <c r="AD19" s="36" t="str">
        <f t="shared" si="11"/>
        <v/>
      </c>
      <c r="AE19" s="133"/>
      <c r="AF19" s="36" t="str">
        <f t="shared" si="12"/>
        <v/>
      </c>
      <c r="AG19" s="133"/>
      <c r="AH19" s="36" t="str">
        <f t="shared" si="13"/>
        <v/>
      </c>
      <c r="AI19" s="90">
        <v>314</v>
      </c>
      <c r="AJ19" s="178"/>
      <c r="AK19" s="36" t="str">
        <f t="shared" si="14"/>
        <v/>
      </c>
      <c r="AL19" s="133">
        <f t="shared" ref="AL19:AL27" si="22">O19</f>
        <v>897.04</v>
      </c>
      <c r="AM19" s="36" t="str">
        <f t="shared" si="15"/>
        <v/>
      </c>
      <c r="AN19" s="133">
        <f t="shared" ref="AN19:AN27" si="23">O19</f>
        <v>897.04</v>
      </c>
      <c r="AO19" s="36" t="str">
        <f t="shared" si="16"/>
        <v/>
      </c>
      <c r="AP19" s="133"/>
      <c r="AQ19" s="36" t="str">
        <f t="shared" si="17"/>
        <v/>
      </c>
      <c r="AR19" s="133"/>
      <c r="AS19" s="36" t="str">
        <f t="shared" si="18"/>
        <v/>
      </c>
      <c r="AT19" s="99"/>
      <c r="AU19" s="205">
        <f>17.25*40</f>
        <v>690</v>
      </c>
      <c r="AV19" s="205">
        <f>ROUND(17.25*1.5,2)*8</f>
        <v>207.04</v>
      </c>
      <c r="AW19" s="205"/>
      <c r="AX19" s="205">
        <f t="shared" ref="AX19:AX27" si="24">AU19+AV19</f>
        <v>897.04</v>
      </c>
      <c r="AY19" s="26">
        <f t="shared" ref="AY19:AY27" si="25">AX19*$AY$15</f>
        <v>55.62</v>
      </c>
      <c r="AZ19" s="26">
        <f t="shared" ref="AZ19:AZ27" si="26">AX19*$AZ$15</f>
        <v>13.01</v>
      </c>
      <c r="BA19" s="53">
        <v>119</v>
      </c>
      <c r="BB19" s="25">
        <f t="shared" ref="BB19:BB27" si="27">AX19*$BB$15</f>
        <v>27.54</v>
      </c>
      <c r="BC19" s="25">
        <f t="shared" ref="BC19:BC27" si="28">AX19*$BC$15</f>
        <v>0.63</v>
      </c>
      <c r="BD19" s="25">
        <f t="shared" ref="BD19:BD27" si="29">AX19*$BD$15</f>
        <v>26.91</v>
      </c>
      <c r="BE19" s="26">
        <v>50</v>
      </c>
      <c r="BF19" s="26">
        <v>0.85</v>
      </c>
      <c r="BG19" s="26">
        <v>1.65</v>
      </c>
      <c r="BH19" s="3">
        <f t="shared" si="19"/>
        <v>601.83000000000004</v>
      </c>
      <c r="BI19" s="26">
        <f t="shared" ref="BI19:BI27" si="30">AX19</f>
        <v>897.04</v>
      </c>
      <c r="BJ19" s="26">
        <f t="shared" ref="BJ19:BJ27" si="31">AX19</f>
        <v>897.04</v>
      </c>
      <c r="BK19" s="26">
        <f t="shared" ref="BK19:BK27" si="32">AX19</f>
        <v>897.04</v>
      </c>
      <c r="BL19" s="26">
        <f t="shared" ref="BL19:BL27" si="33">AX19</f>
        <v>897.04</v>
      </c>
    </row>
    <row r="20" spans="2:64" ht="15">
      <c r="B20" s="18" t="s">
        <v>29</v>
      </c>
      <c r="C20" s="103"/>
      <c r="D20" s="20"/>
      <c r="E20" s="194"/>
      <c r="F20" s="194"/>
      <c r="G20" s="176">
        <v>37.5</v>
      </c>
      <c r="H20" s="177">
        <v>18.100000000000001</v>
      </c>
      <c r="I20" s="67">
        <f>G20*H20</f>
        <v>678.75</v>
      </c>
      <c r="J20" s="35" t="str">
        <f t="shared" si="0"/>
        <v/>
      </c>
      <c r="K20" s="78"/>
      <c r="L20" s="94"/>
      <c r="M20" s="67">
        <f t="shared" si="1"/>
        <v>0</v>
      </c>
      <c r="N20" s="35" t="str">
        <f t="shared" si="2"/>
        <v/>
      </c>
      <c r="O20" s="53">
        <f t="shared" si="3"/>
        <v>678.75</v>
      </c>
      <c r="P20" s="36" t="str">
        <f t="shared" si="4"/>
        <v/>
      </c>
      <c r="Q20" s="133">
        <f t="shared" si="20"/>
        <v>42.08</v>
      </c>
      <c r="R20" s="36" t="str">
        <f t="shared" si="5"/>
        <v/>
      </c>
      <c r="S20" s="133">
        <f t="shared" si="21"/>
        <v>9.84</v>
      </c>
      <c r="T20" s="36" t="str">
        <f t="shared" si="6"/>
        <v/>
      </c>
      <c r="U20" s="144"/>
      <c r="V20" s="36" t="str">
        <f t="shared" si="7"/>
        <v/>
      </c>
      <c r="W20" s="133"/>
      <c r="X20" s="36" t="str">
        <f t="shared" si="8"/>
        <v/>
      </c>
      <c r="Y20" s="134"/>
      <c r="Z20" s="36" t="str">
        <f t="shared" si="9"/>
        <v/>
      </c>
      <c r="AA20" s="133"/>
      <c r="AB20" s="36" t="str">
        <f t="shared" si="10"/>
        <v/>
      </c>
      <c r="AC20" s="133"/>
      <c r="AD20" s="36" t="str">
        <f t="shared" si="11"/>
        <v/>
      </c>
      <c r="AE20" s="133"/>
      <c r="AF20" s="36" t="str">
        <f t="shared" si="12"/>
        <v/>
      </c>
      <c r="AG20" s="133"/>
      <c r="AH20" s="36" t="str">
        <f t="shared" si="13"/>
        <v/>
      </c>
      <c r="AI20" s="90">
        <v>315</v>
      </c>
      <c r="AJ20" s="178"/>
      <c r="AK20" s="36" t="str">
        <f t="shared" si="14"/>
        <v/>
      </c>
      <c r="AL20" s="133">
        <f t="shared" si="22"/>
        <v>678.75</v>
      </c>
      <c r="AM20" s="36" t="str">
        <f t="shared" si="15"/>
        <v/>
      </c>
      <c r="AN20" s="133">
        <f t="shared" si="23"/>
        <v>678.75</v>
      </c>
      <c r="AO20" s="36" t="str">
        <f t="shared" si="16"/>
        <v/>
      </c>
      <c r="AP20" s="133"/>
      <c r="AQ20" s="36" t="str">
        <f t="shared" si="17"/>
        <v/>
      </c>
      <c r="AR20" s="133"/>
      <c r="AS20" s="36" t="str">
        <f t="shared" si="18"/>
        <v/>
      </c>
      <c r="AT20" s="99"/>
      <c r="AU20" s="205">
        <f>18.1*37.5</f>
        <v>678.75</v>
      </c>
      <c r="AV20" s="205"/>
      <c r="AW20" s="205"/>
      <c r="AX20" s="205">
        <f t="shared" si="24"/>
        <v>678.75</v>
      </c>
      <c r="AY20" s="26">
        <f t="shared" si="25"/>
        <v>42.08</v>
      </c>
      <c r="AZ20" s="26">
        <f t="shared" si="26"/>
        <v>9.84</v>
      </c>
      <c r="BA20" s="53">
        <v>32</v>
      </c>
      <c r="BB20" s="25">
        <f t="shared" si="27"/>
        <v>20.84</v>
      </c>
      <c r="BC20" s="25">
        <f t="shared" si="28"/>
        <v>0.48</v>
      </c>
      <c r="BD20" s="25">
        <f t="shared" si="29"/>
        <v>20.36</v>
      </c>
      <c r="BE20" s="26">
        <v>40</v>
      </c>
      <c r="BF20" s="26">
        <v>0.85</v>
      </c>
      <c r="BG20" s="26">
        <v>1.65</v>
      </c>
      <c r="BH20" s="3">
        <f t="shared" si="19"/>
        <v>510.65</v>
      </c>
      <c r="BI20" s="26">
        <f t="shared" si="30"/>
        <v>678.75</v>
      </c>
      <c r="BJ20" s="26">
        <f t="shared" si="31"/>
        <v>678.75</v>
      </c>
      <c r="BK20" s="26">
        <f t="shared" si="32"/>
        <v>678.75</v>
      </c>
      <c r="BL20" s="26">
        <f t="shared" si="33"/>
        <v>678.75</v>
      </c>
    </row>
    <row r="21" spans="2:64" ht="15">
      <c r="B21" s="18" t="s">
        <v>30</v>
      </c>
      <c r="C21" s="103"/>
      <c r="D21" s="20"/>
      <c r="E21" s="194"/>
      <c r="F21" s="194"/>
      <c r="G21" s="176">
        <v>40</v>
      </c>
      <c r="H21" s="177">
        <v>17.899999999999999</v>
      </c>
      <c r="I21" s="74">
        <f>G21*H21</f>
        <v>716</v>
      </c>
      <c r="J21" s="35" t="str">
        <f t="shared" si="0"/>
        <v/>
      </c>
      <c r="K21" s="78">
        <v>6</v>
      </c>
      <c r="L21" s="94">
        <f>ROUND(H21*1.5,2)</f>
        <v>26.85</v>
      </c>
      <c r="M21" s="74">
        <f t="shared" si="1"/>
        <v>161.1</v>
      </c>
      <c r="N21" s="35" t="str">
        <f t="shared" si="2"/>
        <v/>
      </c>
      <c r="O21" s="53">
        <f t="shared" si="3"/>
        <v>877.1</v>
      </c>
      <c r="P21" s="36" t="str">
        <f t="shared" si="4"/>
        <v/>
      </c>
      <c r="Q21" s="133">
        <f t="shared" si="20"/>
        <v>54.38</v>
      </c>
      <c r="R21" s="36" t="str">
        <f t="shared" si="5"/>
        <v/>
      </c>
      <c r="S21" s="133">
        <f t="shared" si="21"/>
        <v>12.72</v>
      </c>
      <c r="T21" s="36" t="str">
        <f t="shared" si="6"/>
        <v/>
      </c>
      <c r="U21" s="144"/>
      <c r="V21" s="36" t="str">
        <f t="shared" si="7"/>
        <v/>
      </c>
      <c r="W21" s="133"/>
      <c r="X21" s="36" t="str">
        <f t="shared" si="8"/>
        <v/>
      </c>
      <c r="Y21" s="134"/>
      <c r="Z21" s="36" t="str">
        <f t="shared" si="9"/>
        <v/>
      </c>
      <c r="AA21" s="133"/>
      <c r="AB21" s="36" t="str">
        <f t="shared" si="10"/>
        <v/>
      </c>
      <c r="AC21" s="133"/>
      <c r="AD21" s="36" t="str">
        <f t="shared" si="11"/>
        <v/>
      </c>
      <c r="AE21" s="133"/>
      <c r="AF21" s="36" t="str">
        <f t="shared" si="12"/>
        <v/>
      </c>
      <c r="AG21" s="133"/>
      <c r="AH21" s="36" t="str">
        <f t="shared" si="13"/>
        <v/>
      </c>
      <c r="AI21" s="90">
        <v>316</v>
      </c>
      <c r="AJ21" s="178"/>
      <c r="AK21" s="36" t="str">
        <f t="shared" si="14"/>
        <v/>
      </c>
      <c r="AL21" s="133">
        <f t="shared" si="22"/>
        <v>877.1</v>
      </c>
      <c r="AM21" s="36" t="str">
        <f t="shared" si="15"/>
        <v/>
      </c>
      <c r="AN21" s="133">
        <f t="shared" si="23"/>
        <v>877.1</v>
      </c>
      <c r="AO21" s="36" t="str">
        <f t="shared" si="16"/>
        <v/>
      </c>
      <c r="AP21" s="133"/>
      <c r="AQ21" s="36" t="str">
        <f t="shared" si="17"/>
        <v/>
      </c>
      <c r="AR21" s="133"/>
      <c r="AS21" s="36" t="str">
        <f t="shared" si="18"/>
        <v/>
      </c>
      <c r="AT21" s="99"/>
      <c r="AU21" s="205">
        <f>40*17.9</f>
        <v>716</v>
      </c>
      <c r="AV21" s="205">
        <f>ROUND(17.9*1.5,2)*6</f>
        <v>161.1</v>
      </c>
      <c r="AW21" s="205"/>
      <c r="AX21" s="205">
        <f t="shared" si="24"/>
        <v>877.1</v>
      </c>
      <c r="AY21" s="26">
        <f t="shared" si="25"/>
        <v>54.38</v>
      </c>
      <c r="AZ21" s="26">
        <f t="shared" si="26"/>
        <v>12.72</v>
      </c>
      <c r="BA21" s="53">
        <v>35</v>
      </c>
      <c r="BB21" s="25">
        <f t="shared" si="27"/>
        <v>26.93</v>
      </c>
      <c r="BC21" s="25">
        <f t="shared" si="28"/>
        <v>0.61</v>
      </c>
      <c r="BD21" s="25">
        <f t="shared" si="29"/>
        <v>26.31</v>
      </c>
      <c r="BE21" s="26">
        <v>50</v>
      </c>
      <c r="BF21" s="26">
        <v>0.85</v>
      </c>
      <c r="BG21" s="26">
        <v>1.65</v>
      </c>
      <c r="BH21" s="3">
        <f t="shared" si="19"/>
        <v>668.65</v>
      </c>
      <c r="BI21" s="26">
        <f t="shared" si="30"/>
        <v>877.1</v>
      </c>
      <c r="BJ21" s="26">
        <f t="shared" si="31"/>
        <v>877.1</v>
      </c>
      <c r="BK21" s="26">
        <f t="shared" si="32"/>
        <v>877.1</v>
      </c>
      <c r="BL21" s="26">
        <f t="shared" si="33"/>
        <v>877.1</v>
      </c>
    </row>
    <row r="22" spans="2:64" ht="15">
      <c r="B22" s="18" t="s">
        <v>31</v>
      </c>
      <c r="C22" s="103"/>
      <c r="D22" s="20"/>
      <c r="E22" s="194"/>
      <c r="F22" s="194"/>
      <c r="G22" s="176">
        <v>40</v>
      </c>
      <c r="H22" s="177">
        <v>19.75</v>
      </c>
      <c r="I22" s="74">
        <f>G22*H22</f>
        <v>790</v>
      </c>
      <c r="J22" s="35" t="str">
        <f t="shared" si="0"/>
        <v/>
      </c>
      <c r="K22" s="78"/>
      <c r="L22" s="94"/>
      <c r="M22" s="74">
        <f t="shared" si="1"/>
        <v>0</v>
      </c>
      <c r="N22" s="35" t="str">
        <f t="shared" si="2"/>
        <v/>
      </c>
      <c r="O22" s="53">
        <f t="shared" si="3"/>
        <v>790</v>
      </c>
      <c r="P22" s="36" t="str">
        <f t="shared" si="4"/>
        <v/>
      </c>
      <c r="Q22" s="133">
        <f t="shared" si="20"/>
        <v>48.98</v>
      </c>
      <c r="R22" s="36" t="str">
        <f t="shared" si="5"/>
        <v/>
      </c>
      <c r="S22" s="133">
        <f t="shared" si="21"/>
        <v>11.46</v>
      </c>
      <c r="T22" s="36" t="str">
        <f t="shared" si="6"/>
        <v/>
      </c>
      <c r="U22" s="144"/>
      <c r="V22" s="36" t="str">
        <f t="shared" si="7"/>
        <v/>
      </c>
      <c r="W22" s="133"/>
      <c r="X22" s="36" t="str">
        <f t="shared" si="8"/>
        <v/>
      </c>
      <c r="Y22" s="134"/>
      <c r="Z22" s="36" t="str">
        <f t="shared" si="9"/>
        <v/>
      </c>
      <c r="AA22" s="133"/>
      <c r="AB22" s="36" t="str">
        <f t="shared" si="10"/>
        <v/>
      </c>
      <c r="AC22" s="133"/>
      <c r="AD22" s="36" t="str">
        <f t="shared" si="11"/>
        <v/>
      </c>
      <c r="AE22" s="133"/>
      <c r="AF22" s="36" t="str">
        <f t="shared" si="12"/>
        <v/>
      </c>
      <c r="AG22" s="133"/>
      <c r="AH22" s="36" t="str">
        <f t="shared" si="13"/>
        <v/>
      </c>
      <c r="AI22" s="90">
        <v>317</v>
      </c>
      <c r="AJ22" s="178"/>
      <c r="AK22" s="36" t="str">
        <f t="shared" si="14"/>
        <v/>
      </c>
      <c r="AL22" s="133">
        <f t="shared" si="22"/>
        <v>790</v>
      </c>
      <c r="AM22" s="36" t="str">
        <f t="shared" si="15"/>
        <v/>
      </c>
      <c r="AN22" s="133">
        <f t="shared" si="23"/>
        <v>790</v>
      </c>
      <c r="AO22" s="36" t="str">
        <f t="shared" si="16"/>
        <v/>
      </c>
      <c r="AP22" s="133"/>
      <c r="AQ22" s="36" t="str">
        <f t="shared" si="17"/>
        <v/>
      </c>
      <c r="AR22" s="133"/>
      <c r="AS22" s="36" t="str">
        <f t="shared" si="18"/>
        <v/>
      </c>
      <c r="AT22" s="99"/>
      <c r="AU22" s="205">
        <f>19.75*40</f>
        <v>790</v>
      </c>
      <c r="AV22" s="205"/>
      <c r="AW22" s="205"/>
      <c r="AX22" s="205">
        <f t="shared" si="24"/>
        <v>790</v>
      </c>
      <c r="AY22" s="26">
        <f t="shared" si="25"/>
        <v>48.98</v>
      </c>
      <c r="AZ22" s="26">
        <f t="shared" si="26"/>
        <v>11.46</v>
      </c>
      <c r="BA22" s="53">
        <v>78</v>
      </c>
      <c r="BB22" s="25">
        <f t="shared" si="27"/>
        <v>24.25</v>
      </c>
      <c r="BC22" s="25">
        <f t="shared" si="28"/>
        <v>0.55000000000000004</v>
      </c>
      <c r="BD22" s="25">
        <f t="shared" si="29"/>
        <v>23.7</v>
      </c>
      <c r="BE22" s="26">
        <v>20</v>
      </c>
      <c r="BF22" s="26">
        <v>0</v>
      </c>
      <c r="BG22" s="26">
        <v>1.65</v>
      </c>
      <c r="BH22" s="3">
        <f t="shared" si="19"/>
        <v>581.41</v>
      </c>
      <c r="BI22" s="26">
        <f t="shared" si="30"/>
        <v>790</v>
      </c>
      <c r="BJ22" s="26">
        <f t="shared" si="31"/>
        <v>790</v>
      </c>
      <c r="BK22" s="26">
        <f t="shared" si="32"/>
        <v>790</v>
      </c>
      <c r="BL22" s="26">
        <f t="shared" si="33"/>
        <v>790</v>
      </c>
    </row>
    <row r="23" spans="2:64" ht="15">
      <c r="B23" s="18" t="s">
        <v>32</v>
      </c>
      <c r="C23" s="103"/>
      <c r="D23" s="20"/>
      <c r="E23" s="194"/>
      <c r="F23" s="194"/>
      <c r="G23" s="176">
        <v>40</v>
      </c>
      <c r="H23" s="175"/>
      <c r="I23" s="67">
        <v>515</v>
      </c>
      <c r="J23" s="35" t="str">
        <f t="shared" si="0"/>
        <v/>
      </c>
      <c r="K23" s="78">
        <v>1.25</v>
      </c>
      <c r="L23" s="95">
        <f>ROUND(I23/40,2)*1.5</f>
        <v>19.32</v>
      </c>
      <c r="M23" s="76">
        <f t="shared" si="1"/>
        <v>24.15</v>
      </c>
      <c r="N23" s="35" t="str">
        <f t="shared" si="2"/>
        <v/>
      </c>
      <c r="O23" s="53">
        <f t="shared" si="3"/>
        <v>539.15</v>
      </c>
      <c r="P23" s="36" t="str">
        <f t="shared" si="4"/>
        <v/>
      </c>
      <c r="Q23" s="133">
        <f t="shared" si="20"/>
        <v>33.43</v>
      </c>
      <c r="R23" s="36" t="str">
        <f t="shared" si="5"/>
        <v/>
      </c>
      <c r="S23" s="133">
        <f t="shared" si="21"/>
        <v>7.82</v>
      </c>
      <c r="T23" s="36" t="str">
        <f t="shared" si="6"/>
        <v/>
      </c>
      <c r="U23" s="144"/>
      <c r="V23" s="36" t="str">
        <f t="shared" si="7"/>
        <v/>
      </c>
      <c r="W23" s="133"/>
      <c r="X23" s="36" t="str">
        <f t="shared" si="8"/>
        <v/>
      </c>
      <c r="Y23" s="134"/>
      <c r="Z23" s="36" t="str">
        <f t="shared" si="9"/>
        <v/>
      </c>
      <c r="AA23" s="133"/>
      <c r="AB23" s="36" t="str">
        <f t="shared" si="10"/>
        <v/>
      </c>
      <c r="AC23" s="133"/>
      <c r="AD23" s="36" t="str">
        <f t="shared" si="11"/>
        <v/>
      </c>
      <c r="AE23" s="133"/>
      <c r="AF23" s="36" t="str">
        <f t="shared" si="12"/>
        <v/>
      </c>
      <c r="AG23" s="133"/>
      <c r="AH23" s="36" t="str">
        <f t="shared" si="13"/>
        <v/>
      </c>
      <c r="AI23" s="90">
        <v>318</v>
      </c>
      <c r="AJ23" s="178"/>
      <c r="AK23" s="36" t="str">
        <f t="shared" si="14"/>
        <v/>
      </c>
      <c r="AL23" s="133">
        <f t="shared" si="22"/>
        <v>539.15</v>
      </c>
      <c r="AM23" s="36" t="str">
        <f t="shared" si="15"/>
        <v/>
      </c>
      <c r="AN23" s="133">
        <f t="shared" si="23"/>
        <v>539.15</v>
      </c>
      <c r="AO23" s="36" t="str">
        <f t="shared" si="16"/>
        <v/>
      </c>
      <c r="AP23" s="133"/>
      <c r="AQ23" s="36" t="str">
        <f t="shared" si="17"/>
        <v/>
      </c>
      <c r="AR23" s="133"/>
      <c r="AS23" s="36" t="str">
        <f t="shared" si="18"/>
        <v/>
      </c>
      <c r="AT23" s="99"/>
      <c r="AU23" s="205">
        <v>515</v>
      </c>
      <c r="AV23" s="205">
        <f>ROUND(515/40,2)*1.5*1.25</f>
        <v>24.15</v>
      </c>
      <c r="AW23" s="205"/>
      <c r="AX23" s="205">
        <f t="shared" si="24"/>
        <v>539.15</v>
      </c>
      <c r="AY23" s="26">
        <f t="shared" si="25"/>
        <v>33.43</v>
      </c>
      <c r="AZ23" s="26">
        <f t="shared" si="26"/>
        <v>7.82</v>
      </c>
      <c r="BA23" s="53">
        <v>10</v>
      </c>
      <c r="BB23" s="25">
        <f t="shared" si="27"/>
        <v>16.55</v>
      </c>
      <c r="BC23" s="25">
        <f t="shared" si="28"/>
        <v>0.38</v>
      </c>
      <c r="BD23" s="25">
        <f t="shared" si="29"/>
        <v>16.170000000000002</v>
      </c>
      <c r="BE23" s="26">
        <v>40</v>
      </c>
      <c r="BF23" s="26">
        <v>0.85</v>
      </c>
      <c r="BG23" s="26">
        <v>1.65</v>
      </c>
      <c r="BH23" s="3">
        <f t="shared" si="19"/>
        <v>412.3</v>
      </c>
      <c r="BI23" s="26">
        <f t="shared" si="30"/>
        <v>539.15</v>
      </c>
      <c r="BJ23" s="26">
        <f t="shared" si="31"/>
        <v>539.15</v>
      </c>
      <c r="BK23" s="26">
        <f t="shared" si="32"/>
        <v>539.15</v>
      </c>
      <c r="BL23" s="26">
        <f t="shared" si="33"/>
        <v>539.15</v>
      </c>
    </row>
    <row r="24" spans="2:64" ht="15">
      <c r="B24" s="18" t="s">
        <v>33</v>
      </c>
      <c r="C24" s="103"/>
      <c r="D24" s="20"/>
      <c r="E24" s="194"/>
      <c r="F24" s="194"/>
      <c r="G24" s="176">
        <v>40</v>
      </c>
      <c r="H24" s="175"/>
      <c r="I24" s="67">
        <f>ROUND(2700*12/52,2)</f>
        <v>623.08000000000004</v>
      </c>
      <c r="J24" s="35" t="str">
        <f t="shared" si="0"/>
        <v/>
      </c>
      <c r="K24" s="78"/>
      <c r="L24" s="94"/>
      <c r="M24" s="67"/>
      <c r="N24" s="35" t="str">
        <f t="shared" si="2"/>
        <v/>
      </c>
      <c r="O24" s="53">
        <f t="shared" si="3"/>
        <v>623.08000000000004</v>
      </c>
      <c r="P24" s="36" t="str">
        <f t="shared" si="4"/>
        <v/>
      </c>
      <c r="Q24" s="133">
        <f t="shared" si="20"/>
        <v>38.630000000000003</v>
      </c>
      <c r="R24" s="36" t="str">
        <f t="shared" si="5"/>
        <v/>
      </c>
      <c r="S24" s="133">
        <f t="shared" si="21"/>
        <v>9.0299999999999994</v>
      </c>
      <c r="T24" s="36" t="str">
        <f t="shared" si="6"/>
        <v/>
      </c>
      <c r="U24" s="144"/>
      <c r="V24" s="36" t="str">
        <f t="shared" si="7"/>
        <v/>
      </c>
      <c r="W24" s="133"/>
      <c r="X24" s="36" t="str">
        <f t="shared" si="8"/>
        <v/>
      </c>
      <c r="Y24" s="134"/>
      <c r="Z24" s="36" t="str">
        <f t="shared" si="9"/>
        <v/>
      </c>
      <c r="AA24" s="133"/>
      <c r="AB24" s="36" t="str">
        <f t="shared" si="10"/>
        <v/>
      </c>
      <c r="AC24" s="133"/>
      <c r="AD24" s="36" t="str">
        <f t="shared" si="11"/>
        <v/>
      </c>
      <c r="AE24" s="133"/>
      <c r="AF24" s="36" t="str">
        <f t="shared" si="12"/>
        <v/>
      </c>
      <c r="AG24" s="133"/>
      <c r="AH24" s="36" t="str">
        <f t="shared" si="13"/>
        <v/>
      </c>
      <c r="AI24" s="90">
        <v>319</v>
      </c>
      <c r="AJ24" s="178"/>
      <c r="AK24" s="36" t="str">
        <f t="shared" si="14"/>
        <v/>
      </c>
      <c r="AL24" s="133">
        <f t="shared" si="22"/>
        <v>623.08000000000004</v>
      </c>
      <c r="AM24" s="36" t="str">
        <f t="shared" si="15"/>
        <v/>
      </c>
      <c r="AN24" s="133">
        <f t="shared" si="23"/>
        <v>623.08000000000004</v>
      </c>
      <c r="AO24" s="36" t="str">
        <f t="shared" si="16"/>
        <v/>
      </c>
      <c r="AP24" s="133"/>
      <c r="AQ24" s="36" t="str">
        <f t="shared" si="17"/>
        <v/>
      </c>
      <c r="AR24" s="133"/>
      <c r="AS24" s="36" t="str">
        <f t="shared" si="18"/>
        <v/>
      </c>
      <c r="AT24" s="99"/>
      <c r="AU24" s="205">
        <f>ROUND(2700*12/52,2)</f>
        <v>623.08000000000004</v>
      </c>
      <c r="AV24" s="205"/>
      <c r="AW24" s="205"/>
      <c r="AX24" s="205">
        <f t="shared" si="24"/>
        <v>623.08000000000004</v>
      </c>
      <c r="AY24" s="26">
        <f t="shared" si="25"/>
        <v>38.630000000000003</v>
      </c>
      <c r="AZ24" s="26">
        <f t="shared" si="26"/>
        <v>9.0299999999999994</v>
      </c>
      <c r="BA24" s="53">
        <v>0</v>
      </c>
      <c r="BB24" s="25">
        <f t="shared" si="27"/>
        <v>19.13</v>
      </c>
      <c r="BC24" s="25">
        <f t="shared" si="28"/>
        <v>0.44</v>
      </c>
      <c r="BD24" s="25">
        <f t="shared" si="29"/>
        <v>18.690000000000001</v>
      </c>
      <c r="BE24" s="26">
        <v>50</v>
      </c>
      <c r="BF24" s="26">
        <v>0.85</v>
      </c>
      <c r="BG24" s="26">
        <v>1.65</v>
      </c>
      <c r="BH24" s="3">
        <f t="shared" si="19"/>
        <v>484.66</v>
      </c>
      <c r="BI24" s="26">
        <f t="shared" si="30"/>
        <v>623.08000000000004</v>
      </c>
      <c r="BJ24" s="26">
        <f t="shared" si="31"/>
        <v>623.08000000000004</v>
      </c>
      <c r="BK24" s="26">
        <f t="shared" si="32"/>
        <v>623.08000000000004</v>
      </c>
      <c r="BL24" s="26">
        <f t="shared" si="33"/>
        <v>623.08000000000004</v>
      </c>
    </row>
    <row r="25" spans="2:64" ht="15">
      <c r="B25" s="18" t="s">
        <v>34</v>
      </c>
      <c r="C25" s="103"/>
      <c r="D25" s="20"/>
      <c r="E25" s="194"/>
      <c r="F25" s="194"/>
      <c r="G25" s="176">
        <v>40</v>
      </c>
      <c r="H25" s="175"/>
      <c r="I25" s="67">
        <f>ROUND(3350*12/52,2)</f>
        <v>773.08</v>
      </c>
      <c r="J25" s="35" t="str">
        <f t="shared" si="0"/>
        <v/>
      </c>
      <c r="K25" s="78"/>
      <c r="L25" s="94"/>
      <c r="M25" s="67"/>
      <c r="N25" s="35" t="str">
        <f t="shared" si="2"/>
        <v/>
      </c>
      <c r="O25" s="53">
        <f t="shared" si="3"/>
        <v>773.08</v>
      </c>
      <c r="P25" s="36" t="str">
        <f t="shared" si="4"/>
        <v/>
      </c>
      <c r="Q25" s="133">
        <f t="shared" si="20"/>
        <v>47.93</v>
      </c>
      <c r="R25" s="36" t="str">
        <f t="shared" si="5"/>
        <v/>
      </c>
      <c r="S25" s="133">
        <f t="shared" si="21"/>
        <v>11.21</v>
      </c>
      <c r="T25" s="36" t="str">
        <f t="shared" si="6"/>
        <v/>
      </c>
      <c r="U25" s="144"/>
      <c r="V25" s="36" t="str">
        <f t="shared" si="7"/>
        <v/>
      </c>
      <c r="W25" s="133"/>
      <c r="X25" s="36" t="str">
        <f t="shared" si="8"/>
        <v/>
      </c>
      <c r="Y25" s="134"/>
      <c r="Z25" s="36" t="str">
        <f t="shared" si="9"/>
        <v/>
      </c>
      <c r="AA25" s="133"/>
      <c r="AB25" s="36" t="str">
        <f t="shared" si="10"/>
        <v/>
      </c>
      <c r="AC25" s="133"/>
      <c r="AD25" s="36" t="str">
        <f t="shared" si="11"/>
        <v/>
      </c>
      <c r="AE25" s="133"/>
      <c r="AF25" s="36" t="str">
        <f t="shared" si="12"/>
        <v/>
      </c>
      <c r="AG25" s="133"/>
      <c r="AH25" s="36" t="str">
        <f t="shared" si="13"/>
        <v/>
      </c>
      <c r="AI25" s="90">
        <v>320</v>
      </c>
      <c r="AJ25" s="178"/>
      <c r="AK25" s="36" t="str">
        <f t="shared" si="14"/>
        <v/>
      </c>
      <c r="AL25" s="133">
        <f t="shared" si="22"/>
        <v>773.08</v>
      </c>
      <c r="AM25" s="36" t="str">
        <f t="shared" si="15"/>
        <v/>
      </c>
      <c r="AN25" s="133">
        <f t="shared" si="23"/>
        <v>773.08</v>
      </c>
      <c r="AO25" s="36" t="str">
        <f t="shared" si="16"/>
        <v/>
      </c>
      <c r="AP25" s="133"/>
      <c r="AQ25" s="36" t="str">
        <f t="shared" si="17"/>
        <v/>
      </c>
      <c r="AR25" s="133"/>
      <c r="AS25" s="36" t="str">
        <f t="shared" si="18"/>
        <v/>
      </c>
      <c r="AT25" s="99"/>
      <c r="AU25" s="205">
        <f>ROUND(3350*12/52,2)</f>
        <v>773.08</v>
      </c>
      <c r="AV25" s="205"/>
      <c r="AW25" s="205"/>
      <c r="AX25" s="205">
        <f t="shared" si="24"/>
        <v>773.08</v>
      </c>
      <c r="AY25" s="26">
        <f t="shared" si="25"/>
        <v>47.93</v>
      </c>
      <c r="AZ25" s="26">
        <f t="shared" si="26"/>
        <v>11.21</v>
      </c>
      <c r="BA25" s="53">
        <v>80</v>
      </c>
      <c r="BB25" s="25">
        <f t="shared" si="27"/>
        <v>23.73</v>
      </c>
      <c r="BC25" s="25">
        <f t="shared" si="28"/>
        <v>0.54</v>
      </c>
      <c r="BD25" s="25">
        <f t="shared" si="29"/>
        <v>23.19</v>
      </c>
      <c r="BE25" s="26">
        <v>60</v>
      </c>
      <c r="BF25" s="26">
        <v>0</v>
      </c>
      <c r="BG25" s="26">
        <v>1.65</v>
      </c>
      <c r="BH25" s="3">
        <f t="shared" si="19"/>
        <v>524.83000000000004</v>
      </c>
      <c r="BI25" s="26">
        <f t="shared" si="30"/>
        <v>773.08</v>
      </c>
      <c r="BJ25" s="26">
        <f t="shared" si="31"/>
        <v>773.08</v>
      </c>
      <c r="BK25" s="26">
        <f t="shared" si="32"/>
        <v>773.08</v>
      </c>
      <c r="BL25" s="26">
        <f t="shared" si="33"/>
        <v>773.08</v>
      </c>
    </row>
    <row r="26" spans="2:64" ht="15">
      <c r="B26" s="18" t="s">
        <v>35</v>
      </c>
      <c r="C26" s="103"/>
      <c r="D26" s="20"/>
      <c r="E26" s="194"/>
      <c r="F26" s="194"/>
      <c r="G26" s="176">
        <v>40</v>
      </c>
      <c r="H26" s="175"/>
      <c r="I26" s="67">
        <f>ROUND(2510*12/52,2)</f>
        <v>579.23</v>
      </c>
      <c r="J26" s="35" t="str">
        <f t="shared" si="0"/>
        <v/>
      </c>
      <c r="K26" s="78">
        <v>4</v>
      </c>
      <c r="L26" s="94">
        <f>ROUND(I26/40,2)*1.5</f>
        <v>21.72</v>
      </c>
      <c r="M26" s="74">
        <f>K26*L26</f>
        <v>86.88</v>
      </c>
      <c r="N26" s="35" t="str">
        <f t="shared" si="2"/>
        <v/>
      </c>
      <c r="O26" s="53">
        <f t="shared" si="3"/>
        <v>666.11</v>
      </c>
      <c r="P26" s="36" t="str">
        <f t="shared" si="4"/>
        <v/>
      </c>
      <c r="Q26" s="133">
        <f t="shared" si="20"/>
        <v>41.3</v>
      </c>
      <c r="R26" s="36" t="str">
        <f t="shared" si="5"/>
        <v/>
      </c>
      <c r="S26" s="133">
        <f t="shared" si="21"/>
        <v>9.66</v>
      </c>
      <c r="T26" s="36" t="str">
        <f t="shared" si="6"/>
        <v/>
      </c>
      <c r="U26" s="144"/>
      <c r="V26" s="36" t="str">
        <f t="shared" si="7"/>
        <v/>
      </c>
      <c r="W26" s="133"/>
      <c r="X26" s="36" t="str">
        <f t="shared" si="8"/>
        <v/>
      </c>
      <c r="Y26" s="134"/>
      <c r="Z26" s="36" t="str">
        <f t="shared" si="9"/>
        <v/>
      </c>
      <c r="AA26" s="133"/>
      <c r="AB26" s="36" t="str">
        <f t="shared" si="10"/>
        <v/>
      </c>
      <c r="AC26" s="133"/>
      <c r="AD26" s="36" t="str">
        <f t="shared" si="11"/>
        <v/>
      </c>
      <c r="AE26" s="133"/>
      <c r="AF26" s="36" t="str">
        <f t="shared" si="12"/>
        <v/>
      </c>
      <c r="AG26" s="133"/>
      <c r="AH26" s="36" t="str">
        <f t="shared" si="13"/>
        <v/>
      </c>
      <c r="AI26" s="90">
        <v>321</v>
      </c>
      <c r="AJ26" s="178"/>
      <c r="AK26" s="36" t="str">
        <f t="shared" si="14"/>
        <v/>
      </c>
      <c r="AL26" s="133">
        <f t="shared" si="22"/>
        <v>666.11</v>
      </c>
      <c r="AM26" s="36" t="str">
        <f t="shared" si="15"/>
        <v/>
      </c>
      <c r="AN26" s="133">
        <f t="shared" si="23"/>
        <v>666.11</v>
      </c>
      <c r="AO26" s="36" t="str">
        <f t="shared" si="16"/>
        <v/>
      </c>
      <c r="AP26" s="133"/>
      <c r="AQ26" s="36" t="str">
        <f t="shared" si="17"/>
        <v/>
      </c>
      <c r="AR26" s="133"/>
      <c r="AS26" s="36" t="str">
        <f t="shared" si="18"/>
        <v/>
      </c>
      <c r="AT26" s="99"/>
      <c r="AU26" s="205">
        <f>ROUND(2510*12/52,2)</f>
        <v>579.23</v>
      </c>
      <c r="AV26" s="205">
        <f>ROUND(579.23/40,2)*1.5*4</f>
        <v>86.88</v>
      </c>
      <c r="AW26" s="205"/>
      <c r="AX26" s="205">
        <f t="shared" si="24"/>
        <v>666.11</v>
      </c>
      <c r="AY26" s="26">
        <f t="shared" si="25"/>
        <v>41.3</v>
      </c>
      <c r="AZ26" s="26">
        <f t="shared" si="26"/>
        <v>9.66</v>
      </c>
      <c r="BA26" s="53">
        <v>9</v>
      </c>
      <c r="BB26" s="25">
        <f t="shared" si="27"/>
        <v>20.45</v>
      </c>
      <c r="BC26" s="25">
        <f t="shared" si="28"/>
        <v>0.47</v>
      </c>
      <c r="BD26" s="25">
        <f t="shared" si="29"/>
        <v>19.98</v>
      </c>
      <c r="BE26" s="26">
        <v>30</v>
      </c>
      <c r="BF26" s="26">
        <v>0.85</v>
      </c>
      <c r="BG26" s="26">
        <v>1.65</v>
      </c>
      <c r="BH26" s="3">
        <f t="shared" si="19"/>
        <v>532.75</v>
      </c>
      <c r="BI26" s="26">
        <f t="shared" si="30"/>
        <v>666.11</v>
      </c>
      <c r="BJ26" s="26">
        <f t="shared" si="31"/>
        <v>666.11</v>
      </c>
      <c r="BK26" s="26">
        <f t="shared" si="32"/>
        <v>666.11</v>
      </c>
      <c r="BL26" s="26">
        <f t="shared" si="33"/>
        <v>666.11</v>
      </c>
    </row>
    <row r="27" spans="2:64" ht="15">
      <c r="B27" s="18" t="s">
        <v>36</v>
      </c>
      <c r="C27" s="103"/>
      <c r="D27" s="20"/>
      <c r="E27" s="194"/>
      <c r="F27" s="194"/>
      <c r="G27" s="176">
        <v>40</v>
      </c>
      <c r="H27" s="175"/>
      <c r="I27" s="69">
        <f>ROUND(52000/52,2)</f>
        <v>1000</v>
      </c>
      <c r="J27" s="35" t="str">
        <f t="shared" si="0"/>
        <v/>
      </c>
      <c r="K27" s="79"/>
      <c r="L27" s="79"/>
      <c r="M27" s="69"/>
      <c r="N27" s="35" t="str">
        <f t="shared" si="2"/>
        <v/>
      </c>
      <c r="O27" s="53">
        <f t="shared" si="3"/>
        <v>1000</v>
      </c>
      <c r="P27" s="47" t="str">
        <f t="shared" si="4"/>
        <v/>
      </c>
      <c r="Q27" s="133">
        <f t="shared" si="20"/>
        <v>62</v>
      </c>
      <c r="R27" s="5" t="str">
        <f t="shared" si="5"/>
        <v/>
      </c>
      <c r="S27" s="133">
        <f t="shared" si="21"/>
        <v>14.5</v>
      </c>
      <c r="T27" s="36" t="str">
        <f t="shared" si="6"/>
        <v/>
      </c>
      <c r="U27" s="145"/>
      <c r="V27" s="50" t="str">
        <f t="shared" si="7"/>
        <v/>
      </c>
      <c r="W27" s="133"/>
      <c r="X27" s="36" t="str">
        <f t="shared" si="8"/>
        <v/>
      </c>
      <c r="Y27" s="134"/>
      <c r="Z27" s="61" t="str">
        <f t="shared" si="9"/>
        <v/>
      </c>
      <c r="AA27" s="146"/>
      <c r="AB27" s="36" t="str">
        <f t="shared" si="10"/>
        <v/>
      </c>
      <c r="AC27" s="146"/>
      <c r="AD27" s="36" t="str">
        <f t="shared" si="11"/>
        <v/>
      </c>
      <c r="AE27" s="146"/>
      <c r="AF27" s="61" t="str">
        <f t="shared" si="12"/>
        <v/>
      </c>
      <c r="AG27" s="146"/>
      <c r="AH27" s="61" t="str">
        <f t="shared" si="13"/>
        <v/>
      </c>
      <c r="AI27" s="90">
        <v>322</v>
      </c>
      <c r="AJ27" s="178"/>
      <c r="AK27" s="36" t="str">
        <f t="shared" si="14"/>
        <v/>
      </c>
      <c r="AL27" s="146">
        <f t="shared" si="22"/>
        <v>1000</v>
      </c>
      <c r="AM27" s="61" t="str">
        <f t="shared" si="15"/>
        <v/>
      </c>
      <c r="AN27" s="179">
        <f t="shared" si="23"/>
        <v>1000</v>
      </c>
      <c r="AO27" s="61" t="str">
        <f t="shared" si="16"/>
        <v/>
      </c>
      <c r="AP27" s="146"/>
      <c r="AQ27" s="36" t="str">
        <f t="shared" si="17"/>
        <v/>
      </c>
      <c r="AR27" s="146"/>
      <c r="AS27" s="36" t="str">
        <f t="shared" si="18"/>
        <v/>
      </c>
      <c r="AT27" s="99"/>
      <c r="AU27" s="205">
        <f>ROUND(52000/52,2)</f>
        <v>1000</v>
      </c>
      <c r="AV27" s="205"/>
      <c r="AW27" s="205"/>
      <c r="AX27" s="205">
        <f t="shared" si="24"/>
        <v>1000</v>
      </c>
      <c r="AY27" s="26">
        <f t="shared" si="25"/>
        <v>62</v>
      </c>
      <c r="AZ27" s="26">
        <f t="shared" si="26"/>
        <v>14.5</v>
      </c>
      <c r="BA27" s="51">
        <v>22</v>
      </c>
      <c r="BB27" s="25">
        <f t="shared" si="27"/>
        <v>30.7</v>
      </c>
      <c r="BC27" s="25">
        <f t="shared" si="28"/>
        <v>0.7</v>
      </c>
      <c r="BD27" s="25">
        <f t="shared" si="29"/>
        <v>30</v>
      </c>
      <c r="BE27" s="38">
        <v>80</v>
      </c>
      <c r="BF27" s="38">
        <v>0.85</v>
      </c>
      <c r="BG27" s="38">
        <v>1.65</v>
      </c>
      <c r="BH27" s="3">
        <f t="shared" si="19"/>
        <v>757.6</v>
      </c>
      <c r="BI27" s="38">
        <f t="shared" si="30"/>
        <v>1000</v>
      </c>
      <c r="BJ27" s="62">
        <f t="shared" si="31"/>
        <v>1000</v>
      </c>
      <c r="BK27" s="62">
        <f t="shared" si="32"/>
        <v>1000</v>
      </c>
      <c r="BL27" s="62">
        <f t="shared" si="33"/>
        <v>1000</v>
      </c>
    </row>
    <row r="28" spans="2:64" ht="13" customHeight="1" thickBot="1">
      <c r="B28" s="18" t="s">
        <v>14</v>
      </c>
      <c r="C28" s="103"/>
      <c r="D28" s="20"/>
      <c r="E28" s="19"/>
      <c r="F28" s="19"/>
      <c r="G28" s="65"/>
      <c r="H28" s="19"/>
      <c r="I28" s="70">
        <f>SUM(I18:I27)</f>
        <v>7065.14</v>
      </c>
      <c r="J28" s="37" t="str">
        <f t="shared" si="0"/>
        <v/>
      </c>
      <c r="K28" s="100"/>
      <c r="L28" s="101"/>
      <c r="M28" s="70">
        <f>SUM(M18:M27)</f>
        <v>479.17</v>
      </c>
      <c r="N28" s="37" t="str">
        <f t="shared" si="2"/>
        <v/>
      </c>
      <c r="O28" s="70">
        <f>SUM(O18:O27)</f>
        <v>7544.31</v>
      </c>
      <c r="P28" s="37" t="str">
        <f t="shared" si="4"/>
        <v/>
      </c>
      <c r="Q28" s="122">
        <f>SUM(Q18:Q27)</f>
        <v>467.75</v>
      </c>
      <c r="R28" s="37" t="str">
        <f t="shared" si="5"/>
        <v/>
      </c>
      <c r="S28" s="122">
        <f>SUM(S18:S27)</f>
        <v>109.4</v>
      </c>
      <c r="T28" s="37" t="str">
        <f t="shared" si="6"/>
        <v/>
      </c>
      <c r="U28" s="122"/>
      <c r="V28" s="37" t="str">
        <f t="shared" si="7"/>
        <v/>
      </c>
      <c r="W28" s="122"/>
      <c r="X28" s="37" t="str">
        <f t="shared" si="8"/>
        <v/>
      </c>
      <c r="Y28" s="122"/>
      <c r="Z28" s="37" t="str">
        <f t="shared" si="9"/>
        <v/>
      </c>
      <c r="AA28" s="122"/>
      <c r="AB28" s="37" t="str">
        <f t="shared" si="10"/>
        <v/>
      </c>
      <c r="AC28" s="122"/>
      <c r="AD28" s="37" t="str">
        <f t="shared" si="11"/>
        <v/>
      </c>
      <c r="AE28" s="122"/>
      <c r="AF28" s="37" t="str">
        <f t="shared" si="12"/>
        <v/>
      </c>
      <c r="AG28" s="122"/>
      <c r="AH28" s="37" t="str">
        <f t="shared" si="13"/>
        <v/>
      </c>
      <c r="AI28" s="91"/>
      <c r="AJ28" s="122"/>
      <c r="AK28" s="37" t="str">
        <f t="shared" si="14"/>
        <v/>
      </c>
      <c r="AL28" s="122">
        <f>SUM(AL18:AL27)</f>
        <v>7544.31</v>
      </c>
      <c r="AM28" s="37" t="str">
        <f t="shared" si="15"/>
        <v/>
      </c>
      <c r="AN28" s="122">
        <f>SUM(AN18:AN27)</f>
        <v>7544.31</v>
      </c>
      <c r="AO28" s="37" t="str">
        <f t="shared" si="16"/>
        <v/>
      </c>
      <c r="AP28" s="122"/>
      <c r="AQ28" s="37" t="str">
        <f t="shared" si="17"/>
        <v/>
      </c>
      <c r="AR28" s="122"/>
      <c r="AS28" s="37" t="str">
        <f t="shared" si="18"/>
        <v/>
      </c>
      <c r="AT28" s="99"/>
      <c r="AU28" s="70">
        <f>SUM(AU18:AU27)</f>
        <v>7065.14</v>
      </c>
      <c r="AV28" s="70">
        <f>SUM(AV18:AV27)</f>
        <v>479.17</v>
      </c>
      <c r="AW28" s="48"/>
      <c r="AX28" s="70">
        <f t="shared" ref="AX28:BL28" si="34">SUM(AX18:AX27)</f>
        <v>7544.31</v>
      </c>
      <c r="AY28" s="70">
        <f t="shared" si="34"/>
        <v>467.75</v>
      </c>
      <c r="AZ28" s="70">
        <f t="shared" si="34"/>
        <v>109.4</v>
      </c>
      <c r="BA28" s="70">
        <f t="shared" si="34"/>
        <v>461</v>
      </c>
      <c r="BB28" s="70">
        <f t="shared" si="34"/>
        <v>231.61</v>
      </c>
      <c r="BC28" s="70">
        <f t="shared" si="34"/>
        <v>5.29</v>
      </c>
      <c r="BD28" s="70">
        <f t="shared" si="34"/>
        <v>226.31</v>
      </c>
      <c r="BE28" s="70">
        <f t="shared" si="34"/>
        <v>440</v>
      </c>
      <c r="BF28" s="70">
        <f t="shared" si="34"/>
        <v>6.8</v>
      </c>
      <c r="BG28" s="70">
        <f t="shared" si="34"/>
        <v>16.5</v>
      </c>
      <c r="BH28" s="70">
        <f t="shared" si="34"/>
        <v>5579.65</v>
      </c>
      <c r="BI28" s="70">
        <f t="shared" si="34"/>
        <v>7544.31</v>
      </c>
      <c r="BJ28" s="70">
        <f t="shared" si="34"/>
        <v>7544.31</v>
      </c>
      <c r="BK28" s="70">
        <f t="shared" si="34"/>
        <v>7544.31</v>
      </c>
      <c r="BL28" s="70">
        <f t="shared" si="34"/>
        <v>7544.31</v>
      </c>
    </row>
    <row r="29" spans="2:64" ht="13" thickTop="1"/>
    <row r="31" spans="2:64" ht="13" customHeight="1">
      <c r="D31" s="211" t="s">
        <v>25</v>
      </c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</row>
    <row r="32" spans="2:64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4:57" ht="13">
      <c r="D33" s="58"/>
      <c r="E33" s="213" t="s">
        <v>22</v>
      </c>
      <c r="F33" s="213"/>
      <c r="G33" s="58"/>
      <c r="H33" s="213" t="s">
        <v>21</v>
      </c>
      <c r="I33" s="213"/>
      <c r="J33" s="213"/>
      <c r="K33" s="213"/>
      <c r="L33" s="57"/>
      <c r="M33" s="58" t="s">
        <v>23</v>
      </c>
      <c r="N33" s="57"/>
      <c r="O33" s="58" t="s">
        <v>24</v>
      </c>
      <c r="P33" s="57"/>
      <c r="S33" s="4"/>
      <c r="T33" s="4"/>
      <c r="U33" s="105" t="s">
        <v>96</v>
      </c>
      <c r="V33" s="4"/>
      <c r="W33" s="4"/>
      <c r="X33" s="4"/>
      <c r="Y33" s="105" t="s">
        <v>93</v>
      </c>
      <c r="Z33" s="4"/>
    </row>
    <row r="34" spans="4:57" ht="13">
      <c r="D34" s="4"/>
      <c r="E34" s="4" t="s">
        <v>20</v>
      </c>
      <c r="F34" s="4"/>
      <c r="G34" s="4"/>
      <c r="H34" s="214"/>
      <c r="I34" s="214"/>
      <c r="J34" s="214"/>
      <c r="K34" s="214"/>
      <c r="L34" s="4"/>
      <c r="M34" s="4"/>
      <c r="N34" s="4"/>
      <c r="O34" s="4"/>
      <c r="P34" s="4"/>
      <c r="S34" s="4"/>
      <c r="T34" s="4"/>
      <c r="U34" s="105" t="s">
        <v>97</v>
      </c>
      <c r="V34" s="4"/>
      <c r="W34" s="105" t="s">
        <v>98</v>
      </c>
      <c r="X34" s="4"/>
      <c r="Y34" s="105" t="s">
        <v>100</v>
      </c>
      <c r="Z34" s="4"/>
    </row>
    <row r="35" spans="4:57" ht="15.5">
      <c r="D35" s="4"/>
      <c r="E35" s="208" t="s">
        <v>70</v>
      </c>
      <c r="F35" s="209"/>
      <c r="G35" s="4" t="s">
        <v>53</v>
      </c>
      <c r="H35" s="4"/>
      <c r="I35" s="4"/>
      <c r="J35" s="4"/>
      <c r="K35" s="4"/>
      <c r="L35" s="39"/>
      <c r="M35" s="163"/>
      <c r="N35" s="39" t="str">
        <f>IF(OR(M35="",M35=AV35),"","*")</f>
        <v/>
      </c>
      <c r="O35" s="4"/>
      <c r="P35" s="4"/>
      <c r="S35" s="4" t="s">
        <v>99</v>
      </c>
      <c r="T35" s="4"/>
      <c r="U35" s="191"/>
      <c r="V35" s="159" t="str">
        <f>IF(OR(U35="",U35=BC39),"","*")</f>
        <v/>
      </c>
      <c r="W35" s="192"/>
      <c r="X35" s="155" t="str">
        <f>IF(OR(W35="",W35=BD39),"","*")</f>
        <v/>
      </c>
      <c r="Y35" s="191"/>
      <c r="Z35" s="155" t="str">
        <f>IF(OR(Y35="",Y35=BE39),"","*")</f>
        <v/>
      </c>
      <c r="AV35" s="56">
        <f>AX28</f>
        <v>7544.31</v>
      </c>
      <c r="AX35" s="4"/>
    </row>
    <row r="36" spans="4:57" ht="15">
      <c r="D36" s="4"/>
      <c r="E36" s="208"/>
      <c r="F36" s="209"/>
      <c r="G36" s="59"/>
      <c r="H36" s="4" t="s">
        <v>54</v>
      </c>
      <c r="I36" s="4"/>
      <c r="J36" s="4"/>
      <c r="K36" s="4"/>
      <c r="L36" s="39"/>
      <c r="M36" s="4"/>
      <c r="N36" s="39" t="s">
        <v>52</v>
      </c>
      <c r="O36" s="163"/>
      <c r="P36" s="39" t="str">
        <f t="shared" ref="P36:P45" si="35">IF(OR(O36="",O36=AX36),"","*")</f>
        <v/>
      </c>
      <c r="S36" s="4"/>
      <c r="T36" s="4"/>
      <c r="U36" s="160"/>
      <c r="V36" s="4"/>
      <c r="W36" s="160"/>
      <c r="X36" s="4"/>
      <c r="Y36" s="161" t="s">
        <v>101</v>
      </c>
      <c r="Z36" s="4"/>
      <c r="AV36" s="4"/>
      <c r="AX36" s="56">
        <f>AY28</f>
        <v>467.75</v>
      </c>
    </row>
    <row r="37" spans="4:57" ht="15.5">
      <c r="D37" s="4"/>
      <c r="E37" s="4"/>
      <c r="F37" s="4"/>
      <c r="G37" s="59"/>
      <c r="H37" s="4" t="s">
        <v>55</v>
      </c>
      <c r="I37" s="4"/>
      <c r="J37" s="4"/>
      <c r="K37" s="4"/>
      <c r="L37" s="39"/>
      <c r="M37" s="4"/>
      <c r="N37" s="39" t="s">
        <v>52</v>
      </c>
      <c r="O37" s="163"/>
      <c r="P37" s="39" t="str">
        <f t="shared" si="35"/>
        <v/>
      </c>
      <c r="S37" s="4" t="s">
        <v>16</v>
      </c>
      <c r="T37" s="4"/>
      <c r="U37" s="191"/>
      <c r="V37" s="155" t="str">
        <f>IF(OR(U37="",U37=BC41),"","*")</f>
        <v/>
      </c>
      <c r="W37" s="198"/>
      <c r="X37" s="155" t="str">
        <f>IF(OR(W37="",W37=BD41),"","*")</f>
        <v/>
      </c>
      <c r="Y37" s="191"/>
      <c r="Z37" s="155" t="str">
        <f>IF(OR(Y37="",Y37=BE41),"","*")</f>
        <v/>
      </c>
      <c r="AV37" s="4"/>
      <c r="AX37" s="56">
        <f>AZ28</f>
        <v>109.4</v>
      </c>
      <c r="BC37" s="140" t="s">
        <v>96</v>
      </c>
    </row>
    <row r="38" spans="4:57" ht="15">
      <c r="D38" s="4"/>
      <c r="E38" s="4"/>
      <c r="F38" s="4"/>
      <c r="G38" s="59"/>
      <c r="H38" s="4" t="s">
        <v>56</v>
      </c>
      <c r="I38" s="4"/>
      <c r="J38" s="4"/>
      <c r="K38" s="4"/>
      <c r="L38" s="39"/>
      <c r="M38" s="4"/>
      <c r="N38" s="39" t="s">
        <v>52</v>
      </c>
      <c r="O38" s="163"/>
      <c r="P38" s="39" t="str">
        <f t="shared" si="35"/>
        <v/>
      </c>
      <c r="AV38" s="4"/>
      <c r="AX38" s="56">
        <f>BA28</f>
        <v>461</v>
      </c>
      <c r="BC38" s="140" t="s">
        <v>102</v>
      </c>
      <c r="BD38" s="140" t="s">
        <v>98</v>
      </c>
      <c r="BE38" s="140" t="s">
        <v>99</v>
      </c>
    </row>
    <row r="39" spans="4:57" ht="15">
      <c r="D39" s="4"/>
      <c r="E39" s="4"/>
      <c r="F39" s="4"/>
      <c r="G39" s="4"/>
      <c r="H39" s="4" t="s">
        <v>57</v>
      </c>
      <c r="I39" s="4"/>
      <c r="J39" s="4"/>
      <c r="K39" s="4"/>
      <c r="L39" s="39"/>
      <c r="M39" s="4"/>
      <c r="N39" s="4"/>
      <c r="O39" s="163"/>
      <c r="P39" s="39" t="str">
        <f t="shared" si="35"/>
        <v/>
      </c>
      <c r="AV39" s="4"/>
      <c r="AX39" s="56">
        <f>BB28</f>
        <v>231.61</v>
      </c>
      <c r="BC39" s="158">
        <f>BK28</f>
        <v>7544.31</v>
      </c>
      <c r="BD39">
        <f>BK15</f>
        <v>6.0000000000000001E-3</v>
      </c>
      <c r="BE39" s="158">
        <f>BC39*BD39</f>
        <v>45.27</v>
      </c>
    </row>
    <row r="40" spans="4:57" ht="15">
      <c r="D40" s="4"/>
      <c r="E40" s="208"/>
      <c r="F40" s="209"/>
      <c r="G40" s="59"/>
      <c r="H40" s="4" t="s">
        <v>58</v>
      </c>
      <c r="I40" s="4"/>
      <c r="J40" s="4"/>
      <c r="K40" s="4"/>
      <c r="L40" s="39"/>
      <c r="M40" s="4"/>
      <c r="N40" s="39" t="s">
        <v>52</v>
      </c>
      <c r="O40" s="163"/>
      <c r="P40" s="39" t="str">
        <f t="shared" si="35"/>
        <v/>
      </c>
      <c r="AV40" s="4"/>
      <c r="AX40" s="56">
        <f>BC28</f>
        <v>5.29</v>
      </c>
      <c r="BE40" s="140" t="s">
        <v>16</v>
      </c>
    </row>
    <row r="41" spans="4:57" ht="15">
      <c r="D41" s="4"/>
      <c r="E41" s="4"/>
      <c r="F41" s="4"/>
      <c r="G41" s="59"/>
      <c r="H41" s="4" t="s">
        <v>59</v>
      </c>
      <c r="I41" s="4"/>
      <c r="J41" s="4"/>
      <c r="K41" s="4"/>
      <c r="L41" s="39"/>
      <c r="M41" s="4"/>
      <c r="N41" s="39" t="s">
        <v>52</v>
      </c>
      <c r="O41" s="163"/>
      <c r="P41" s="39" t="str">
        <f t="shared" si="35"/>
        <v/>
      </c>
      <c r="AV41" s="4"/>
      <c r="AX41" s="56">
        <f>BD28</f>
        <v>226.31</v>
      </c>
      <c r="BC41" s="158">
        <f>BL28</f>
        <v>7544.31</v>
      </c>
      <c r="BD41">
        <f>BL15</f>
        <v>3.6784999999999998E-2</v>
      </c>
      <c r="BE41" s="158">
        <f>BC41*BD41</f>
        <v>277.52</v>
      </c>
    </row>
    <row r="42" spans="4:57" ht="15">
      <c r="D42" s="4"/>
      <c r="E42" s="4"/>
      <c r="F42" s="4"/>
      <c r="G42" s="59"/>
      <c r="H42" s="4" t="s">
        <v>60</v>
      </c>
      <c r="I42" s="4"/>
      <c r="J42" s="4"/>
      <c r="K42" s="4"/>
      <c r="L42" s="39"/>
      <c r="M42" s="4"/>
      <c r="N42" s="39" t="s">
        <v>52</v>
      </c>
      <c r="O42" s="163"/>
      <c r="P42" s="39" t="str">
        <f t="shared" si="35"/>
        <v/>
      </c>
      <c r="AV42" s="4"/>
      <c r="AX42" s="56">
        <f>BE28</f>
        <v>440</v>
      </c>
    </row>
    <row r="43" spans="4:57" ht="15">
      <c r="D43" s="4"/>
      <c r="E43" s="4"/>
      <c r="F43" s="4"/>
      <c r="G43" s="4"/>
      <c r="H43" s="4" t="s">
        <v>61</v>
      </c>
      <c r="I43" s="4"/>
      <c r="J43" s="4"/>
      <c r="K43" s="4"/>
      <c r="L43" s="39"/>
      <c r="M43" s="4"/>
      <c r="N43" s="4"/>
      <c r="O43" s="163"/>
      <c r="P43" s="39" t="str">
        <f t="shared" si="35"/>
        <v/>
      </c>
      <c r="AV43" s="4"/>
      <c r="AX43" s="56">
        <v>6.8</v>
      </c>
    </row>
    <row r="44" spans="4:57" ht="15">
      <c r="D44" s="4"/>
      <c r="E44" s="4"/>
      <c r="F44" s="4"/>
      <c r="G44" s="4"/>
      <c r="H44" s="4" t="s">
        <v>62</v>
      </c>
      <c r="I44" s="4"/>
      <c r="J44" s="4"/>
      <c r="K44" s="4"/>
      <c r="L44" s="39"/>
      <c r="M44" s="4"/>
      <c r="N44" s="39" t="s">
        <v>52</v>
      </c>
      <c r="O44" s="163"/>
      <c r="P44" s="39" t="str">
        <f t="shared" si="35"/>
        <v/>
      </c>
      <c r="AV44" s="4"/>
      <c r="AX44" s="56">
        <f>BG28</f>
        <v>16.5</v>
      </c>
    </row>
    <row r="45" spans="4:57" ht="15">
      <c r="D45" s="4"/>
      <c r="E45" s="4"/>
      <c r="F45" s="4"/>
      <c r="G45" s="4"/>
      <c r="H45" s="4" t="s">
        <v>63</v>
      </c>
      <c r="I45" s="4"/>
      <c r="J45" s="4"/>
      <c r="K45" s="4"/>
      <c r="L45" s="39"/>
      <c r="M45" s="4"/>
      <c r="N45" s="4"/>
      <c r="O45" s="163"/>
      <c r="P45" s="39" t="str">
        <f t="shared" si="35"/>
        <v/>
      </c>
      <c r="AV45" s="4"/>
      <c r="AX45" s="56">
        <f>AV35-SUM(AX36:AX44)</f>
        <v>5579.65</v>
      </c>
    </row>
    <row r="46" spans="4:57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AV46" s="4"/>
      <c r="AX46" s="4"/>
    </row>
    <row r="47" spans="4:57" ht="15">
      <c r="D47" s="4"/>
      <c r="E47" s="210" t="s">
        <v>71</v>
      </c>
      <c r="F47" s="209"/>
      <c r="G47" s="4" t="s">
        <v>67</v>
      </c>
      <c r="H47" s="4"/>
      <c r="I47" s="4"/>
      <c r="J47" s="4"/>
      <c r="K47" s="4"/>
      <c r="L47" s="39"/>
      <c r="M47" s="163"/>
      <c r="N47" s="39" t="str">
        <f>IF(OR(M47="",M47=AV47),"","*")</f>
        <v/>
      </c>
      <c r="O47" s="4"/>
      <c r="P47" s="4"/>
      <c r="AV47" s="56">
        <f>SUM(AX48:AX51)</f>
        <v>899.93</v>
      </c>
      <c r="AX47" s="4"/>
    </row>
    <row r="48" spans="4:57" ht="15">
      <c r="D48" s="4"/>
      <c r="E48" s="4"/>
      <c r="F48" s="4"/>
      <c r="G48" s="59"/>
      <c r="H48" s="4" t="s">
        <v>54</v>
      </c>
      <c r="I48" s="4"/>
      <c r="J48" s="4"/>
      <c r="K48" s="4"/>
      <c r="L48" s="39"/>
      <c r="M48" s="4"/>
      <c r="N48" s="39" t="s">
        <v>52</v>
      </c>
      <c r="O48" s="163"/>
      <c r="P48" s="39" t="str">
        <f>IF(OR(O48="",O48=AX48),"","*")</f>
        <v/>
      </c>
      <c r="AV48" s="4"/>
      <c r="AX48" s="56">
        <f>BI28*0.062</f>
        <v>467.75</v>
      </c>
    </row>
    <row r="49" spans="4:50" ht="15">
      <c r="D49" s="4"/>
      <c r="E49" s="4"/>
      <c r="F49" s="4"/>
      <c r="G49" s="59"/>
      <c r="H49" s="4" t="s">
        <v>55</v>
      </c>
      <c r="I49" s="4"/>
      <c r="J49" s="4"/>
      <c r="K49" s="4"/>
      <c r="L49" s="39"/>
      <c r="M49" s="4"/>
      <c r="N49" s="39" t="s">
        <v>52</v>
      </c>
      <c r="O49" s="163"/>
      <c r="P49" s="39" t="str">
        <f>IF(OR(O49="",O49=AX49),"","*")</f>
        <v/>
      </c>
      <c r="AV49" s="4"/>
      <c r="AX49" s="56">
        <f>BJ28*0.0145</f>
        <v>109.39</v>
      </c>
    </row>
    <row r="50" spans="4:50" ht="15">
      <c r="D50" s="4"/>
      <c r="E50" s="4"/>
      <c r="F50" s="4"/>
      <c r="G50" s="59"/>
      <c r="H50" s="4" t="s">
        <v>68</v>
      </c>
      <c r="I50" s="4"/>
      <c r="J50" s="4"/>
      <c r="K50" s="4"/>
      <c r="L50" s="39"/>
      <c r="M50" s="4"/>
      <c r="N50" s="39" t="s">
        <v>52</v>
      </c>
      <c r="O50" s="163"/>
      <c r="P50" s="39" t="str">
        <f>IF(OR(O50="",O50=AX50),"","*")</f>
        <v/>
      </c>
      <c r="AV50" s="4"/>
      <c r="AX50" s="56">
        <f>BE39</f>
        <v>45.27</v>
      </c>
    </row>
    <row r="51" spans="4:50" ht="15">
      <c r="D51" s="4"/>
      <c r="E51" s="4"/>
      <c r="F51" s="4"/>
      <c r="G51" s="4"/>
      <c r="H51" s="4" t="s">
        <v>69</v>
      </c>
      <c r="I51" s="4"/>
      <c r="J51" s="4"/>
      <c r="K51" s="4"/>
      <c r="L51" s="39"/>
      <c r="M51" s="4"/>
      <c r="N51" s="4"/>
      <c r="O51" s="163"/>
      <c r="P51" s="39" t="str">
        <f>IF(OR(O51="",O51=AX51),"","*")</f>
        <v/>
      </c>
      <c r="AV51" s="4"/>
      <c r="AX51" s="56">
        <f>BE41</f>
        <v>277.52</v>
      </c>
    </row>
    <row r="52" spans="4:50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AV52" s="4"/>
      <c r="AX52" s="4"/>
    </row>
    <row r="53" spans="4:50" ht="15">
      <c r="D53" s="4"/>
      <c r="E53" s="210" t="s">
        <v>64</v>
      </c>
      <c r="F53" s="209"/>
      <c r="G53" s="4" t="s">
        <v>65</v>
      </c>
      <c r="H53" s="4"/>
      <c r="I53" s="4"/>
      <c r="J53" s="4"/>
      <c r="K53" s="4"/>
      <c r="L53" s="39"/>
      <c r="M53" s="163"/>
      <c r="N53" s="39" t="str">
        <f>IF(OR(M53="",M53=AV53),"","*")</f>
        <v/>
      </c>
      <c r="O53" s="4"/>
      <c r="P53" s="4"/>
      <c r="AV53" s="56">
        <f>AX45</f>
        <v>5579.65</v>
      </c>
      <c r="AX53" s="4"/>
    </row>
    <row r="54" spans="4:50" ht="15">
      <c r="D54" s="4"/>
      <c r="E54" s="4"/>
      <c r="F54" s="4"/>
      <c r="G54" s="59"/>
      <c r="H54" s="4" t="s">
        <v>66</v>
      </c>
      <c r="I54" s="4"/>
      <c r="J54" s="4"/>
      <c r="K54" s="4"/>
      <c r="L54" s="39"/>
      <c r="M54" s="4"/>
      <c r="N54" s="39" t="s">
        <v>52</v>
      </c>
      <c r="O54" s="163"/>
      <c r="P54" s="39" t="str">
        <f>IF(OR(O54="",O54=AX54),"","*")</f>
        <v/>
      </c>
      <c r="AV54" s="4"/>
      <c r="AX54" s="56">
        <f>AX45</f>
        <v>5579.65</v>
      </c>
    </row>
    <row r="55" spans="4:50"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</sheetData>
  <sheetProtection password="F4C4" sheet="1" objects="1" scenarios="1"/>
  <mergeCells count="33">
    <mergeCell ref="E12:I12"/>
    <mergeCell ref="Q14:AG14"/>
    <mergeCell ref="AI14:AK14"/>
    <mergeCell ref="B8:AS8"/>
    <mergeCell ref="B9:AK9"/>
    <mergeCell ref="B10:AK10"/>
    <mergeCell ref="B11:AS11"/>
    <mergeCell ref="F14:F17"/>
    <mergeCell ref="C1:L1"/>
    <mergeCell ref="AL14:AS14"/>
    <mergeCell ref="G15:G17"/>
    <mergeCell ref="H15:H17"/>
    <mergeCell ref="K15:K17"/>
    <mergeCell ref="L15:L17"/>
    <mergeCell ref="Q15:S15"/>
    <mergeCell ref="AG17:AH17"/>
    <mergeCell ref="G14:J14"/>
    <mergeCell ref="K14:N14"/>
    <mergeCell ref="B16:D16"/>
    <mergeCell ref="Q16:S16"/>
    <mergeCell ref="AE16:AF16"/>
    <mergeCell ref="B17:D17"/>
    <mergeCell ref="AE17:AF17"/>
    <mergeCell ref="E14:E17"/>
    <mergeCell ref="E36:F36"/>
    <mergeCell ref="E40:F40"/>
    <mergeCell ref="E47:F47"/>
    <mergeCell ref="E53:F53"/>
    <mergeCell ref="D31:P31"/>
    <mergeCell ref="H33:K33"/>
    <mergeCell ref="H34:K34"/>
    <mergeCell ref="E35:F35"/>
    <mergeCell ref="E33:F33"/>
  </mergeCells>
  <phoneticPr fontId="0" type="noConversion"/>
  <pageMargins left="0.57999999999999996" right="0.67" top="1" bottom="1" header="0.5" footer="0.5"/>
  <pageSetup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L55"/>
  <sheetViews>
    <sheetView showGridLines="0" workbookViewId="0">
      <selection activeCell="C1" sqref="C1:L1"/>
    </sheetView>
  </sheetViews>
  <sheetFormatPr defaultRowHeight="12.5"/>
  <cols>
    <col min="1" max="1" width="1.81640625" customWidth="1"/>
    <col min="2" max="3" width="9.7265625" customWidth="1"/>
    <col min="4" max="4" width="2.7265625" customWidth="1"/>
    <col min="5" max="5" width="5.26953125" customWidth="1"/>
    <col min="6" max="7" width="5.453125" customWidth="1"/>
    <col min="9" max="9" width="10.7265625" customWidth="1"/>
    <col min="10" max="10" width="2.26953125" customWidth="1"/>
    <col min="11" max="11" width="5.453125" customWidth="1"/>
    <col min="13" max="13" width="10.7265625" customWidth="1"/>
    <col min="14" max="14" width="2.26953125" customWidth="1"/>
    <col min="15" max="15" width="10.7265625" customWidth="1"/>
    <col min="16" max="16" width="2.26953125" customWidth="1"/>
    <col min="17" max="17" width="9.26953125" customWidth="1"/>
    <col min="18" max="18" width="2.26953125" customWidth="1"/>
    <col min="20" max="20" width="2.26953125" customWidth="1"/>
    <col min="21" max="21" width="9.26953125" bestFit="1" customWidth="1"/>
    <col min="22" max="22" width="2.26953125" customWidth="1"/>
    <col min="23" max="23" width="10.6328125" bestFit="1" customWidth="1"/>
    <col min="24" max="24" width="2.26953125" customWidth="1"/>
    <col min="26" max="26" width="2.26953125" customWidth="1"/>
    <col min="28" max="28" width="2.26953125" customWidth="1"/>
    <col min="30" max="30" width="2.26953125" customWidth="1"/>
    <col min="31" max="31" width="9.26953125" customWidth="1"/>
    <col min="32" max="32" width="2.26953125" customWidth="1"/>
    <col min="34" max="34" width="2.26953125" customWidth="1"/>
    <col min="35" max="35" width="6.7265625" customWidth="1"/>
    <col min="36" max="36" width="10.7265625" customWidth="1"/>
    <col min="37" max="37" width="2.26953125" customWidth="1"/>
    <col min="38" max="38" width="9.90625" customWidth="1"/>
    <col min="39" max="39" width="2.26953125" customWidth="1"/>
    <col min="40" max="40" width="9.90625" customWidth="1"/>
    <col min="41" max="41" width="2.26953125" customWidth="1"/>
    <col min="42" max="42" width="9.90625" customWidth="1"/>
    <col min="43" max="43" width="2.26953125" customWidth="1"/>
    <col min="44" max="44" width="9.90625" customWidth="1"/>
    <col min="45" max="45" width="2.26953125" customWidth="1"/>
    <col min="46" max="46" width="10.7265625" hidden="1" customWidth="1"/>
    <col min="47" max="47" width="9.1796875" hidden="1" customWidth="1"/>
    <col min="48" max="51" width="10.7265625" hidden="1" customWidth="1"/>
    <col min="52" max="55" width="9.1796875" hidden="1" customWidth="1"/>
    <col min="56" max="56" width="10.7265625" hidden="1" customWidth="1"/>
    <col min="57" max="64" width="9.1796875" hidden="1" customWidth="1"/>
  </cols>
  <sheetData>
    <row r="1" spans="2:64" ht="12.75" customHeight="1">
      <c r="B1" s="2" t="s">
        <v>17</v>
      </c>
      <c r="C1" s="215" t="s">
        <v>72</v>
      </c>
      <c r="D1" s="215"/>
      <c r="E1" s="215"/>
      <c r="F1" s="215"/>
      <c r="G1" s="215"/>
      <c r="H1" s="215"/>
      <c r="I1" s="215"/>
      <c r="J1" s="215"/>
      <c r="K1" s="215"/>
      <c r="L1" s="215"/>
    </row>
    <row r="2" spans="2:64" ht="12.75" customHeight="1"/>
    <row r="3" spans="2:64" ht="13">
      <c r="B3" s="75" t="s">
        <v>149</v>
      </c>
    </row>
    <row r="4" spans="2:64">
      <c r="B4" s="8" t="s">
        <v>19</v>
      </c>
      <c r="C4" s="8"/>
      <c r="D4" s="8"/>
    </row>
    <row r="5" spans="2:64" ht="13">
      <c r="B5" s="75" t="s">
        <v>155</v>
      </c>
      <c r="C5" s="75"/>
      <c r="D5" s="8"/>
    </row>
    <row r="7" spans="2:64" ht="13">
      <c r="B7" s="6" t="s">
        <v>74</v>
      </c>
      <c r="C7" s="6"/>
      <c r="D7" s="7"/>
    </row>
    <row r="8" spans="2:64" ht="13">
      <c r="B8" s="214" t="s">
        <v>41</v>
      </c>
      <c r="C8" s="214"/>
      <c r="D8" s="214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1"/>
    </row>
    <row r="9" spans="2:64" ht="12.5" customHeight="1">
      <c r="B9" s="244"/>
      <c r="C9" s="244"/>
      <c r="D9" s="244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4"/>
      <c r="AM9" s="4"/>
      <c r="AN9" s="4"/>
      <c r="AO9" s="4"/>
      <c r="AP9" s="4"/>
      <c r="AQ9" s="4"/>
      <c r="AR9" s="4"/>
      <c r="AS9" s="4"/>
      <c r="AT9" s="1"/>
    </row>
    <row r="10" spans="2:64" ht="12.75" customHeight="1">
      <c r="B10" s="244"/>
      <c r="C10" s="244"/>
      <c r="D10" s="244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4"/>
      <c r="AM10" s="4"/>
      <c r="AN10" s="4"/>
      <c r="AO10" s="4"/>
      <c r="AP10" s="4"/>
      <c r="AQ10" s="4"/>
      <c r="AR10" s="4"/>
      <c r="AS10" s="4"/>
      <c r="AT10" s="1"/>
    </row>
    <row r="11" spans="2:64" ht="13" customHeight="1">
      <c r="B11" s="246" t="s">
        <v>7</v>
      </c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1"/>
    </row>
    <row r="12" spans="2:64" ht="12.5" customHeight="1">
      <c r="B12" s="40" t="s">
        <v>18</v>
      </c>
      <c r="C12" s="40"/>
      <c r="D12" s="40"/>
      <c r="E12" s="239" t="s">
        <v>42</v>
      </c>
      <c r="F12" s="240"/>
      <c r="G12" s="240"/>
      <c r="H12" s="240"/>
      <c r="I12" s="240"/>
      <c r="J12" s="12"/>
      <c r="K12" s="12"/>
      <c r="L12" s="12"/>
      <c r="M12" s="12"/>
      <c r="N12" s="22"/>
      <c r="O12" s="12"/>
      <c r="P12" s="12"/>
      <c r="Q12" s="12"/>
      <c r="R12" s="12"/>
      <c r="S12" s="12"/>
      <c r="T12" s="12"/>
      <c r="U12" s="13"/>
      <c r="V12" s="13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4"/>
      <c r="AM12" s="4"/>
      <c r="AN12" s="4"/>
      <c r="AO12" s="4"/>
      <c r="AP12" s="4"/>
      <c r="AQ12" s="4"/>
      <c r="AR12" s="4"/>
      <c r="AS12" s="4"/>
      <c r="AT12" s="1"/>
    </row>
    <row r="13" spans="2:64" ht="13" thickBo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96"/>
    </row>
    <row r="14" spans="2:64" ht="13" customHeight="1" thickTop="1">
      <c r="B14" s="15"/>
      <c r="C14" s="16"/>
      <c r="D14" s="54"/>
      <c r="E14" s="237" t="s">
        <v>10</v>
      </c>
      <c r="F14" s="247" t="s">
        <v>11</v>
      </c>
      <c r="G14" s="216" t="s">
        <v>37</v>
      </c>
      <c r="H14" s="218"/>
      <c r="I14" s="218"/>
      <c r="J14" s="219"/>
      <c r="K14" s="216" t="s">
        <v>43</v>
      </c>
      <c r="L14" s="218"/>
      <c r="M14" s="218"/>
      <c r="N14" s="219"/>
      <c r="O14" s="49"/>
      <c r="P14" s="43"/>
      <c r="Q14" s="241" t="s">
        <v>6</v>
      </c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7"/>
      <c r="AI14" s="216" t="s">
        <v>48</v>
      </c>
      <c r="AJ14" s="242"/>
      <c r="AK14" s="243"/>
      <c r="AL14" s="216" t="s">
        <v>51</v>
      </c>
      <c r="AM14" s="217"/>
      <c r="AN14" s="217"/>
      <c r="AO14" s="217"/>
      <c r="AP14" s="217"/>
      <c r="AQ14" s="218"/>
      <c r="AR14" s="218"/>
      <c r="AS14" s="219"/>
      <c r="AT14" s="97"/>
      <c r="AY14" t="s">
        <v>0</v>
      </c>
      <c r="AZ14" t="s">
        <v>1</v>
      </c>
      <c r="BA14" t="s">
        <v>3</v>
      </c>
      <c r="BB14" t="s">
        <v>4</v>
      </c>
      <c r="BC14" t="s">
        <v>16</v>
      </c>
      <c r="BD14" t="s">
        <v>5</v>
      </c>
      <c r="BE14" t="s">
        <v>44</v>
      </c>
      <c r="BF14" t="s">
        <v>136</v>
      </c>
      <c r="BG14" t="s">
        <v>46</v>
      </c>
      <c r="BH14" t="s">
        <v>138</v>
      </c>
      <c r="BI14" t="s">
        <v>0</v>
      </c>
      <c r="BJ14" t="s">
        <v>1</v>
      </c>
      <c r="BK14" t="s">
        <v>15</v>
      </c>
      <c r="BL14" t="s">
        <v>16</v>
      </c>
    </row>
    <row r="15" spans="2:64" ht="12.5" customHeight="1">
      <c r="B15" s="17"/>
      <c r="C15" s="10"/>
      <c r="D15" s="55"/>
      <c r="E15" s="238"/>
      <c r="F15" s="248"/>
      <c r="G15" s="220" t="s">
        <v>38</v>
      </c>
      <c r="H15" s="223" t="s">
        <v>39</v>
      </c>
      <c r="I15" s="9"/>
      <c r="J15" s="63"/>
      <c r="K15" s="220" t="s">
        <v>38</v>
      </c>
      <c r="L15" s="223" t="s">
        <v>39</v>
      </c>
      <c r="M15" s="9"/>
      <c r="N15" s="63"/>
      <c r="O15" s="41"/>
      <c r="P15" s="44"/>
      <c r="Q15" s="226"/>
      <c r="R15" s="226"/>
      <c r="S15" s="226"/>
      <c r="T15" s="32"/>
      <c r="U15" s="24"/>
      <c r="V15" s="28"/>
      <c r="W15" s="24"/>
      <c r="X15" s="28"/>
      <c r="Y15" s="33"/>
      <c r="Z15" s="33"/>
      <c r="AA15" s="24"/>
      <c r="AB15" s="28"/>
      <c r="AC15" s="24"/>
      <c r="AD15" s="28"/>
      <c r="AE15" s="33"/>
      <c r="AF15" s="33"/>
      <c r="AG15" s="24"/>
      <c r="AH15" s="28"/>
      <c r="AI15" s="87"/>
      <c r="AJ15" s="11"/>
      <c r="AK15" s="23"/>
      <c r="AL15" s="24"/>
      <c r="AM15" s="28"/>
      <c r="AN15" s="24"/>
      <c r="AO15" s="28"/>
      <c r="AP15" s="24"/>
      <c r="AQ15" s="28"/>
      <c r="AR15" s="24"/>
      <c r="AS15" s="28"/>
      <c r="AT15" s="98"/>
      <c r="AY15">
        <v>6.2E-2</v>
      </c>
      <c r="AZ15">
        <v>1.4500000000000001E-2</v>
      </c>
      <c r="BB15">
        <v>3.0700000000000002E-2</v>
      </c>
      <c r="BC15">
        <v>6.9999999999999999E-4</v>
      </c>
      <c r="BD15">
        <v>0.03</v>
      </c>
      <c r="BF15" t="s">
        <v>137</v>
      </c>
      <c r="BG15" t="s">
        <v>137</v>
      </c>
      <c r="BH15" t="s">
        <v>139</v>
      </c>
      <c r="BI15">
        <v>6.2E-2</v>
      </c>
      <c r="BJ15">
        <v>1.4500000000000001E-2</v>
      </c>
      <c r="BK15">
        <v>6.0000000000000001E-3</v>
      </c>
      <c r="BL15">
        <v>3.6784999999999998E-2</v>
      </c>
    </row>
    <row r="16" spans="2:64">
      <c r="B16" s="229"/>
      <c r="C16" s="230"/>
      <c r="D16" s="231"/>
      <c r="E16" s="238"/>
      <c r="F16" s="248"/>
      <c r="G16" s="221"/>
      <c r="H16" s="224"/>
      <c r="I16" s="11"/>
      <c r="J16" s="23"/>
      <c r="K16" s="221"/>
      <c r="L16" s="224"/>
      <c r="M16" s="11"/>
      <c r="N16" s="23"/>
      <c r="O16" s="42" t="s">
        <v>12</v>
      </c>
      <c r="P16" s="45"/>
      <c r="Q16" s="232" t="s">
        <v>2</v>
      </c>
      <c r="R16" s="232"/>
      <c r="S16" s="232"/>
      <c r="T16" s="33"/>
      <c r="U16" s="24"/>
      <c r="V16" s="29"/>
      <c r="W16" s="24"/>
      <c r="X16" s="29"/>
      <c r="Y16" s="33"/>
      <c r="Z16" s="33"/>
      <c r="AA16" s="24"/>
      <c r="AB16" s="29"/>
      <c r="AC16" s="24"/>
      <c r="AD16" s="29"/>
      <c r="AE16" s="233" t="s">
        <v>47</v>
      </c>
      <c r="AF16" s="234"/>
      <c r="AG16" s="86" t="s">
        <v>46</v>
      </c>
      <c r="AH16" s="29"/>
      <c r="AI16" s="88" t="s">
        <v>49</v>
      </c>
      <c r="AJ16" s="11"/>
      <c r="AK16" s="23"/>
      <c r="AL16" s="24"/>
      <c r="AM16" s="29"/>
      <c r="AN16" s="24"/>
      <c r="AO16" s="29"/>
      <c r="AP16" s="24"/>
      <c r="AQ16" s="29"/>
      <c r="AR16" s="24"/>
      <c r="AS16" s="29"/>
      <c r="AT16" s="98"/>
    </row>
    <row r="17" spans="2:64" ht="17" customHeight="1">
      <c r="B17" s="235" t="s">
        <v>26</v>
      </c>
      <c r="C17" s="232"/>
      <c r="D17" s="236"/>
      <c r="E17" s="238"/>
      <c r="F17" s="248"/>
      <c r="G17" s="222"/>
      <c r="H17" s="225"/>
      <c r="I17" s="72" t="s">
        <v>40</v>
      </c>
      <c r="J17" s="64"/>
      <c r="K17" s="222"/>
      <c r="L17" s="225"/>
      <c r="M17" s="72" t="s">
        <v>40</v>
      </c>
      <c r="N17" s="64"/>
      <c r="O17" s="93" t="s">
        <v>13</v>
      </c>
      <c r="P17" s="46"/>
      <c r="Q17" s="81" t="s">
        <v>0</v>
      </c>
      <c r="R17" s="82"/>
      <c r="S17" s="83" t="s">
        <v>1</v>
      </c>
      <c r="T17" s="34"/>
      <c r="U17" s="85" t="s">
        <v>3</v>
      </c>
      <c r="V17" s="31"/>
      <c r="W17" s="72" t="s">
        <v>4</v>
      </c>
      <c r="X17" s="29"/>
      <c r="Y17" s="72" t="s">
        <v>16</v>
      </c>
      <c r="Z17" s="30"/>
      <c r="AA17" s="85" t="s">
        <v>5</v>
      </c>
      <c r="AB17" s="29"/>
      <c r="AC17" s="85" t="s">
        <v>44</v>
      </c>
      <c r="AD17" s="29"/>
      <c r="AE17" s="227" t="s">
        <v>45</v>
      </c>
      <c r="AF17" s="228"/>
      <c r="AG17" s="227" t="s">
        <v>45</v>
      </c>
      <c r="AH17" s="228"/>
      <c r="AI17" s="89" t="s">
        <v>50</v>
      </c>
      <c r="AJ17" s="84" t="s">
        <v>40</v>
      </c>
      <c r="AK17" s="21"/>
      <c r="AL17" s="85" t="s">
        <v>0</v>
      </c>
      <c r="AM17" s="29"/>
      <c r="AN17" s="85" t="s">
        <v>1</v>
      </c>
      <c r="AO17" s="29"/>
      <c r="AP17" s="85" t="s">
        <v>15</v>
      </c>
      <c r="AQ17" s="29"/>
      <c r="AR17" s="85" t="s">
        <v>16</v>
      </c>
      <c r="AS17" s="29"/>
      <c r="AT17" s="98"/>
    </row>
    <row r="18" spans="2:64" ht="15">
      <c r="B18" s="60" t="s">
        <v>27</v>
      </c>
      <c r="C18" s="102"/>
      <c r="D18" s="20"/>
      <c r="E18" s="194" t="s">
        <v>9</v>
      </c>
      <c r="F18" s="194">
        <v>1</v>
      </c>
      <c r="G18" s="176">
        <v>40</v>
      </c>
      <c r="H18" s="177">
        <v>17.5</v>
      </c>
      <c r="I18" s="73">
        <f>G18*H18</f>
        <v>700</v>
      </c>
      <c r="J18" s="35" t="str">
        <f t="shared" ref="J18:J28" si="0">IF(OR(I18="",I18=AU18),"","*")</f>
        <v/>
      </c>
      <c r="K18" s="77"/>
      <c r="L18" s="80"/>
      <c r="M18" s="66">
        <f t="shared" ref="M18:M23" si="1">K18*L18</f>
        <v>0</v>
      </c>
      <c r="N18" s="35" t="str">
        <f t="shared" ref="N18:N28" si="2">IF(OR(M18="",M18=AV18),"","*")</f>
        <v/>
      </c>
      <c r="O18" s="52">
        <f t="shared" ref="O18:O27" si="3">I18+M18</f>
        <v>700</v>
      </c>
      <c r="P18" s="35" t="str">
        <f t="shared" ref="P18:P28" si="4">IF(OR(O18="",O18=AX18),"","*")</f>
        <v/>
      </c>
      <c r="Q18" s="26">
        <f>O18*0.062</f>
        <v>43.4</v>
      </c>
      <c r="R18" s="35" t="str">
        <f t="shared" ref="R18:R28" si="5">IF(OR(Q18="",Q18=AY18),"","*")</f>
        <v/>
      </c>
      <c r="S18" s="25">
        <f>O18*0.0145</f>
        <v>10.15</v>
      </c>
      <c r="T18" s="35" t="str">
        <f t="shared" ref="T18:T28" si="6">IF(OR(S18="",S18=AZ18),"","*")</f>
        <v/>
      </c>
      <c r="U18" s="107">
        <v>76</v>
      </c>
      <c r="V18" s="35" t="str">
        <f t="shared" ref="V18:V28" si="7">IF(OR(U18="",U18=BA18),"","*")</f>
        <v/>
      </c>
      <c r="W18" s="134">
        <f t="shared" ref="W18:W27" si="8">O18*0.0307</f>
        <v>21.49</v>
      </c>
      <c r="X18" s="35" t="str">
        <f t="shared" ref="X18:X28" si="9">IF(OR(W18="",W18=BB18),"","*")</f>
        <v/>
      </c>
      <c r="Y18" s="134"/>
      <c r="Z18" s="35" t="str">
        <f t="shared" ref="Z18:Z28" si="10">IF(OR(Y18="",Y18=BC18),"","*")</f>
        <v/>
      </c>
      <c r="AA18" s="134">
        <f>O18*0.03</f>
        <v>21</v>
      </c>
      <c r="AB18" s="35" t="str">
        <f t="shared" ref="AB18:AB28" si="11">IF(OR(AA18="",AA18=BD18),"","*")</f>
        <v/>
      </c>
      <c r="AC18" s="134">
        <v>20</v>
      </c>
      <c r="AD18" s="35" t="str">
        <f t="shared" ref="AD18:AD28" si="12">IF(OR(AC18="",AC18=BE18),"","*")</f>
        <v/>
      </c>
      <c r="AE18" s="134"/>
      <c r="AF18" s="35" t="str">
        <f t="shared" ref="AF18:AF28" si="13">IF(OR(AE18="",AE18=BF18),"","*")</f>
        <v/>
      </c>
      <c r="AG18" s="134"/>
      <c r="AH18" s="35" t="str">
        <f t="shared" ref="AH18:AH28" si="14">IF(OR(AG18="",AG18=BG18),"","*")</f>
        <v/>
      </c>
      <c r="AI18" s="104">
        <v>313</v>
      </c>
      <c r="AJ18" s="162"/>
      <c r="AK18" s="35" t="str">
        <f t="shared" ref="AK18:AK28" si="15">IF(OR(AJ18="",AJ18=BH18),"","*")</f>
        <v/>
      </c>
      <c r="AL18" s="25">
        <f>O18</f>
        <v>700</v>
      </c>
      <c r="AM18" s="35" t="str">
        <f t="shared" ref="AM18:AM28" si="16">IF(OR(AL18="",AL18=BI18),"","*")</f>
        <v/>
      </c>
      <c r="AN18" s="25">
        <f>O18</f>
        <v>700</v>
      </c>
      <c r="AO18" s="35" t="str">
        <f t="shared" ref="AO18:AO28" si="17">IF(OR(AN18="",AN18=BJ18),"","*")</f>
        <v/>
      </c>
      <c r="AP18" s="134"/>
      <c r="AQ18" s="35" t="str">
        <f t="shared" ref="AQ18:AQ28" si="18">IF(OR(AP18="",AP18=BK18),"","*")</f>
        <v/>
      </c>
      <c r="AR18" s="134"/>
      <c r="AS18" s="35" t="str">
        <f t="shared" ref="AS18:AS28" si="19">IF(OR(AR18="",AR18=BL18),"","*")</f>
        <v/>
      </c>
      <c r="AT18" s="99"/>
      <c r="AU18" s="205">
        <v>700</v>
      </c>
      <c r="AV18" s="205"/>
      <c r="AW18" s="205"/>
      <c r="AX18" s="205">
        <f>AU18</f>
        <v>700</v>
      </c>
      <c r="AY18" s="26">
        <f>AX18*$AY$15</f>
        <v>43.4</v>
      </c>
      <c r="AZ18" s="25">
        <f>AX18*$AZ$15</f>
        <v>10.15</v>
      </c>
      <c r="BA18" s="52">
        <v>76</v>
      </c>
      <c r="BB18" s="25">
        <f>AX18*$BB$15</f>
        <v>21.49</v>
      </c>
      <c r="BC18" s="25">
        <f>AX18*$BC$15</f>
        <v>0.49</v>
      </c>
      <c r="BD18" s="25">
        <f>AX18*$BD$15</f>
        <v>21</v>
      </c>
      <c r="BE18" s="25">
        <v>20</v>
      </c>
      <c r="BF18" s="25">
        <v>0.85</v>
      </c>
      <c r="BG18" s="25">
        <v>1.65</v>
      </c>
      <c r="BH18" s="3">
        <f t="shared" ref="BH18:BH27" si="20">AX18-SUM(AY18:BG18)</f>
        <v>504.97</v>
      </c>
      <c r="BI18" s="25">
        <f>AX18</f>
        <v>700</v>
      </c>
      <c r="BJ18" s="25">
        <f>AX18</f>
        <v>700</v>
      </c>
      <c r="BK18" s="25">
        <f>AX18</f>
        <v>700</v>
      </c>
      <c r="BL18" s="25">
        <f>AX18</f>
        <v>700</v>
      </c>
    </row>
    <row r="19" spans="2:64" ht="15">
      <c r="B19" s="18" t="s">
        <v>28</v>
      </c>
      <c r="C19" s="103"/>
      <c r="D19" s="20"/>
      <c r="E19" s="194" t="s">
        <v>9</v>
      </c>
      <c r="F19" s="194">
        <v>0</v>
      </c>
      <c r="G19" s="176">
        <v>40</v>
      </c>
      <c r="H19" s="177">
        <v>17.25</v>
      </c>
      <c r="I19" s="67">
        <f>G19*H19</f>
        <v>690</v>
      </c>
      <c r="J19" s="35" t="str">
        <f t="shared" si="0"/>
        <v/>
      </c>
      <c r="K19" s="78">
        <v>8</v>
      </c>
      <c r="L19" s="94">
        <f>ROUND(H19*1.5,2)</f>
        <v>25.88</v>
      </c>
      <c r="M19" s="68">
        <f t="shared" si="1"/>
        <v>207.04</v>
      </c>
      <c r="N19" s="35" t="str">
        <f t="shared" si="2"/>
        <v/>
      </c>
      <c r="O19" s="53">
        <f t="shared" si="3"/>
        <v>897.04</v>
      </c>
      <c r="P19" s="36" t="str">
        <f t="shared" si="4"/>
        <v/>
      </c>
      <c r="Q19" s="26">
        <f t="shared" ref="Q19:Q27" si="21">O19*0.062</f>
        <v>55.62</v>
      </c>
      <c r="R19" s="36" t="str">
        <f t="shared" si="5"/>
        <v/>
      </c>
      <c r="S19" s="26">
        <f t="shared" ref="S19:S27" si="22">O19*0.0145</f>
        <v>13.01</v>
      </c>
      <c r="T19" s="36" t="str">
        <f t="shared" si="6"/>
        <v/>
      </c>
      <c r="U19" s="144">
        <v>119</v>
      </c>
      <c r="V19" s="36" t="str">
        <f t="shared" si="7"/>
        <v/>
      </c>
      <c r="W19" s="133">
        <f t="shared" si="8"/>
        <v>27.54</v>
      </c>
      <c r="X19" s="36" t="str">
        <f t="shared" si="9"/>
        <v/>
      </c>
      <c r="Y19" s="134"/>
      <c r="Z19" s="36" t="str">
        <f t="shared" si="10"/>
        <v/>
      </c>
      <c r="AA19" s="133">
        <f t="shared" ref="AA19:AA27" si="23">O19*0.03</f>
        <v>26.91</v>
      </c>
      <c r="AB19" s="36" t="str">
        <f t="shared" si="11"/>
        <v/>
      </c>
      <c r="AC19" s="133">
        <v>50</v>
      </c>
      <c r="AD19" s="36" t="str">
        <f t="shared" si="12"/>
        <v/>
      </c>
      <c r="AE19" s="133"/>
      <c r="AF19" s="36" t="str">
        <f t="shared" si="13"/>
        <v/>
      </c>
      <c r="AG19" s="133"/>
      <c r="AH19" s="36" t="str">
        <f t="shared" si="14"/>
        <v/>
      </c>
      <c r="AI19" s="90">
        <v>314</v>
      </c>
      <c r="AJ19" s="178"/>
      <c r="AK19" s="36" t="str">
        <f t="shared" si="15"/>
        <v/>
      </c>
      <c r="AL19" s="26">
        <f t="shared" ref="AL19:AL27" si="24">O19</f>
        <v>897.04</v>
      </c>
      <c r="AM19" s="36" t="str">
        <f t="shared" si="16"/>
        <v/>
      </c>
      <c r="AN19" s="26">
        <f t="shared" ref="AN19:AN27" si="25">O19</f>
        <v>897.04</v>
      </c>
      <c r="AO19" s="36" t="str">
        <f t="shared" si="17"/>
        <v/>
      </c>
      <c r="AP19" s="133"/>
      <c r="AQ19" s="36" t="str">
        <f t="shared" si="18"/>
        <v/>
      </c>
      <c r="AR19" s="133"/>
      <c r="AS19" s="36" t="str">
        <f t="shared" si="19"/>
        <v/>
      </c>
      <c r="AT19" s="99"/>
      <c r="AU19" s="205">
        <f>17.25*40</f>
        <v>690</v>
      </c>
      <c r="AV19" s="205">
        <f>ROUND(17.25*1.5,2)*8</f>
        <v>207.04</v>
      </c>
      <c r="AW19" s="205"/>
      <c r="AX19" s="205">
        <f t="shared" ref="AX19:AX27" si="26">AU19+AV19</f>
        <v>897.04</v>
      </c>
      <c r="AY19" s="26">
        <f t="shared" ref="AY19:AY27" si="27">AX19*$AY$15</f>
        <v>55.62</v>
      </c>
      <c r="AZ19" s="26">
        <f t="shared" ref="AZ19:AZ27" si="28">AX19*$AZ$15</f>
        <v>13.01</v>
      </c>
      <c r="BA19" s="53">
        <v>119</v>
      </c>
      <c r="BB19" s="25">
        <f t="shared" ref="BB19:BB27" si="29">AX19*$BB$15</f>
        <v>27.54</v>
      </c>
      <c r="BC19" s="25">
        <f t="shared" ref="BC19:BC27" si="30">AX19*$BC$15</f>
        <v>0.63</v>
      </c>
      <c r="BD19" s="25">
        <f t="shared" ref="BD19:BD27" si="31">AX19*$BD$15</f>
        <v>26.91</v>
      </c>
      <c r="BE19" s="26">
        <v>50</v>
      </c>
      <c r="BF19" s="26">
        <v>0.85</v>
      </c>
      <c r="BG19" s="26">
        <v>1.65</v>
      </c>
      <c r="BH19" s="3">
        <f t="shared" si="20"/>
        <v>601.83000000000004</v>
      </c>
      <c r="BI19" s="26">
        <f t="shared" ref="BI19:BI27" si="32">AX19</f>
        <v>897.04</v>
      </c>
      <c r="BJ19" s="26">
        <f t="shared" ref="BJ19:BJ27" si="33">AX19</f>
        <v>897.04</v>
      </c>
      <c r="BK19" s="26">
        <f t="shared" ref="BK19:BK27" si="34">AX19</f>
        <v>897.04</v>
      </c>
      <c r="BL19" s="26">
        <f t="shared" ref="BL19:BL27" si="35">AX19</f>
        <v>897.04</v>
      </c>
    </row>
    <row r="20" spans="2:64" ht="15">
      <c r="B20" s="18" t="s">
        <v>29</v>
      </c>
      <c r="C20" s="103"/>
      <c r="D20" s="20"/>
      <c r="E20" s="194" t="s">
        <v>8</v>
      </c>
      <c r="F20" s="194">
        <v>2</v>
      </c>
      <c r="G20" s="176">
        <v>37.5</v>
      </c>
      <c r="H20" s="177">
        <v>18.100000000000001</v>
      </c>
      <c r="I20" s="67">
        <f>G20*H20</f>
        <v>678.75</v>
      </c>
      <c r="J20" s="35" t="str">
        <f t="shared" si="0"/>
        <v/>
      </c>
      <c r="K20" s="78"/>
      <c r="L20" s="94"/>
      <c r="M20" s="67">
        <f t="shared" si="1"/>
        <v>0</v>
      </c>
      <c r="N20" s="35" t="str">
        <f t="shared" si="2"/>
        <v/>
      </c>
      <c r="O20" s="53">
        <f t="shared" si="3"/>
        <v>678.75</v>
      </c>
      <c r="P20" s="36" t="str">
        <f t="shared" si="4"/>
        <v/>
      </c>
      <c r="Q20" s="26">
        <f t="shared" si="21"/>
        <v>42.08</v>
      </c>
      <c r="R20" s="36" t="str">
        <f t="shared" si="5"/>
        <v/>
      </c>
      <c r="S20" s="26">
        <f t="shared" si="22"/>
        <v>9.84</v>
      </c>
      <c r="T20" s="36" t="str">
        <f t="shared" si="6"/>
        <v/>
      </c>
      <c r="U20" s="144">
        <v>32</v>
      </c>
      <c r="V20" s="36" t="str">
        <f t="shared" si="7"/>
        <v/>
      </c>
      <c r="W20" s="133">
        <f t="shared" si="8"/>
        <v>20.84</v>
      </c>
      <c r="X20" s="36" t="str">
        <f t="shared" si="9"/>
        <v/>
      </c>
      <c r="Y20" s="134"/>
      <c r="Z20" s="36" t="str">
        <f t="shared" si="10"/>
        <v/>
      </c>
      <c r="AA20" s="133">
        <f t="shared" si="23"/>
        <v>20.36</v>
      </c>
      <c r="AB20" s="36" t="str">
        <f t="shared" si="11"/>
        <v/>
      </c>
      <c r="AC20" s="133">
        <v>40</v>
      </c>
      <c r="AD20" s="36" t="str">
        <f t="shared" si="12"/>
        <v/>
      </c>
      <c r="AE20" s="133"/>
      <c r="AF20" s="36" t="str">
        <f t="shared" si="13"/>
        <v/>
      </c>
      <c r="AG20" s="133"/>
      <c r="AH20" s="36" t="str">
        <f t="shared" si="14"/>
        <v/>
      </c>
      <c r="AI20" s="90">
        <v>315</v>
      </c>
      <c r="AJ20" s="178"/>
      <c r="AK20" s="36" t="str">
        <f t="shared" si="15"/>
        <v/>
      </c>
      <c r="AL20" s="26">
        <f t="shared" si="24"/>
        <v>678.75</v>
      </c>
      <c r="AM20" s="36" t="str">
        <f t="shared" si="16"/>
        <v/>
      </c>
      <c r="AN20" s="26">
        <f t="shared" si="25"/>
        <v>678.75</v>
      </c>
      <c r="AO20" s="36" t="str">
        <f t="shared" si="17"/>
        <v/>
      </c>
      <c r="AP20" s="133"/>
      <c r="AQ20" s="36" t="str">
        <f t="shared" si="18"/>
        <v/>
      </c>
      <c r="AR20" s="133"/>
      <c r="AS20" s="36" t="str">
        <f t="shared" si="19"/>
        <v/>
      </c>
      <c r="AT20" s="99"/>
      <c r="AU20" s="205">
        <f>18.1*37.5</f>
        <v>678.75</v>
      </c>
      <c r="AV20" s="205"/>
      <c r="AW20" s="205"/>
      <c r="AX20" s="205">
        <f t="shared" si="26"/>
        <v>678.75</v>
      </c>
      <c r="AY20" s="26">
        <f t="shared" si="27"/>
        <v>42.08</v>
      </c>
      <c r="AZ20" s="26">
        <f t="shared" si="28"/>
        <v>9.84</v>
      </c>
      <c r="BA20" s="53">
        <v>32</v>
      </c>
      <c r="BB20" s="25">
        <f t="shared" si="29"/>
        <v>20.84</v>
      </c>
      <c r="BC20" s="25">
        <f t="shared" si="30"/>
        <v>0.48</v>
      </c>
      <c r="BD20" s="25">
        <f t="shared" si="31"/>
        <v>20.36</v>
      </c>
      <c r="BE20" s="26">
        <v>40</v>
      </c>
      <c r="BF20" s="26">
        <v>0.85</v>
      </c>
      <c r="BG20" s="26">
        <v>1.65</v>
      </c>
      <c r="BH20" s="3">
        <f t="shared" si="20"/>
        <v>510.65</v>
      </c>
      <c r="BI20" s="26">
        <f t="shared" si="32"/>
        <v>678.75</v>
      </c>
      <c r="BJ20" s="26">
        <f t="shared" si="33"/>
        <v>678.75</v>
      </c>
      <c r="BK20" s="26">
        <f t="shared" si="34"/>
        <v>678.75</v>
      </c>
      <c r="BL20" s="26">
        <f t="shared" si="35"/>
        <v>678.75</v>
      </c>
    </row>
    <row r="21" spans="2:64" ht="15">
      <c r="B21" s="18" t="s">
        <v>30</v>
      </c>
      <c r="C21" s="103"/>
      <c r="D21" s="20"/>
      <c r="E21" s="194" t="s">
        <v>8</v>
      </c>
      <c r="F21" s="194">
        <v>4</v>
      </c>
      <c r="G21" s="176">
        <v>40</v>
      </c>
      <c r="H21" s="177">
        <v>17.899999999999999</v>
      </c>
      <c r="I21" s="74">
        <f>G21*H21</f>
        <v>716</v>
      </c>
      <c r="J21" s="35" t="str">
        <f t="shared" si="0"/>
        <v/>
      </c>
      <c r="K21" s="78">
        <v>6</v>
      </c>
      <c r="L21" s="94">
        <f>ROUND(H21*1.5,2)</f>
        <v>26.85</v>
      </c>
      <c r="M21" s="74">
        <f t="shared" si="1"/>
        <v>161.1</v>
      </c>
      <c r="N21" s="35" t="str">
        <f t="shared" si="2"/>
        <v/>
      </c>
      <c r="O21" s="53">
        <f t="shared" si="3"/>
        <v>877.1</v>
      </c>
      <c r="P21" s="36" t="str">
        <f t="shared" si="4"/>
        <v/>
      </c>
      <c r="Q21" s="26">
        <f t="shared" si="21"/>
        <v>54.38</v>
      </c>
      <c r="R21" s="36" t="str">
        <f t="shared" si="5"/>
        <v/>
      </c>
      <c r="S21" s="26">
        <f t="shared" si="22"/>
        <v>12.72</v>
      </c>
      <c r="T21" s="36" t="str">
        <f t="shared" si="6"/>
        <v/>
      </c>
      <c r="U21" s="144">
        <v>35</v>
      </c>
      <c r="V21" s="36" t="str">
        <f t="shared" si="7"/>
        <v/>
      </c>
      <c r="W21" s="133">
        <f t="shared" si="8"/>
        <v>26.93</v>
      </c>
      <c r="X21" s="36" t="str">
        <f t="shared" si="9"/>
        <v/>
      </c>
      <c r="Y21" s="134"/>
      <c r="Z21" s="36" t="str">
        <f t="shared" si="10"/>
        <v/>
      </c>
      <c r="AA21" s="133">
        <f t="shared" si="23"/>
        <v>26.31</v>
      </c>
      <c r="AB21" s="36" t="str">
        <f t="shared" si="11"/>
        <v/>
      </c>
      <c r="AC21" s="133">
        <v>50</v>
      </c>
      <c r="AD21" s="36" t="str">
        <f t="shared" si="12"/>
        <v/>
      </c>
      <c r="AE21" s="133"/>
      <c r="AF21" s="36" t="str">
        <f t="shared" si="13"/>
        <v/>
      </c>
      <c r="AG21" s="133"/>
      <c r="AH21" s="36" t="str">
        <f t="shared" si="14"/>
        <v/>
      </c>
      <c r="AI21" s="90">
        <v>316</v>
      </c>
      <c r="AJ21" s="178"/>
      <c r="AK21" s="36" t="str">
        <f t="shared" si="15"/>
        <v/>
      </c>
      <c r="AL21" s="26">
        <f t="shared" si="24"/>
        <v>877.1</v>
      </c>
      <c r="AM21" s="36" t="str">
        <f t="shared" si="16"/>
        <v/>
      </c>
      <c r="AN21" s="26">
        <f t="shared" si="25"/>
        <v>877.1</v>
      </c>
      <c r="AO21" s="36" t="str">
        <f t="shared" si="17"/>
        <v/>
      </c>
      <c r="AP21" s="133"/>
      <c r="AQ21" s="36" t="str">
        <f t="shared" si="18"/>
        <v/>
      </c>
      <c r="AR21" s="133"/>
      <c r="AS21" s="36" t="str">
        <f t="shared" si="19"/>
        <v/>
      </c>
      <c r="AT21" s="99"/>
      <c r="AU21" s="205">
        <f>40*17.9</f>
        <v>716</v>
      </c>
      <c r="AV21" s="205">
        <f>ROUND(17.9*1.5,2)*6</f>
        <v>161.1</v>
      </c>
      <c r="AW21" s="205"/>
      <c r="AX21" s="205">
        <f t="shared" si="26"/>
        <v>877.1</v>
      </c>
      <c r="AY21" s="26">
        <f t="shared" si="27"/>
        <v>54.38</v>
      </c>
      <c r="AZ21" s="26">
        <f t="shared" si="28"/>
        <v>12.72</v>
      </c>
      <c r="BA21" s="53">
        <v>35</v>
      </c>
      <c r="BB21" s="25">
        <f t="shared" si="29"/>
        <v>26.93</v>
      </c>
      <c r="BC21" s="25">
        <f t="shared" si="30"/>
        <v>0.61</v>
      </c>
      <c r="BD21" s="25">
        <f t="shared" si="31"/>
        <v>26.31</v>
      </c>
      <c r="BE21" s="26">
        <v>50</v>
      </c>
      <c r="BF21" s="26">
        <v>0.85</v>
      </c>
      <c r="BG21" s="26">
        <v>1.65</v>
      </c>
      <c r="BH21" s="3">
        <f t="shared" si="20"/>
        <v>668.65</v>
      </c>
      <c r="BI21" s="26">
        <f t="shared" si="32"/>
        <v>877.1</v>
      </c>
      <c r="BJ21" s="26">
        <f t="shared" si="33"/>
        <v>877.1</v>
      </c>
      <c r="BK21" s="26">
        <f t="shared" si="34"/>
        <v>877.1</v>
      </c>
      <c r="BL21" s="26">
        <f t="shared" si="35"/>
        <v>877.1</v>
      </c>
    </row>
    <row r="22" spans="2:64" ht="15">
      <c r="B22" s="18" t="s">
        <v>31</v>
      </c>
      <c r="C22" s="103"/>
      <c r="D22" s="20"/>
      <c r="E22" s="194" t="s">
        <v>9</v>
      </c>
      <c r="F22" s="194">
        <v>2</v>
      </c>
      <c r="G22" s="176">
        <v>40</v>
      </c>
      <c r="H22" s="177">
        <v>19.75</v>
      </c>
      <c r="I22" s="74">
        <f>G22*H22</f>
        <v>790</v>
      </c>
      <c r="J22" s="35" t="str">
        <f t="shared" si="0"/>
        <v/>
      </c>
      <c r="K22" s="78"/>
      <c r="L22" s="94"/>
      <c r="M22" s="74">
        <f t="shared" si="1"/>
        <v>0</v>
      </c>
      <c r="N22" s="35" t="str">
        <f t="shared" si="2"/>
        <v/>
      </c>
      <c r="O22" s="53">
        <f t="shared" si="3"/>
        <v>790</v>
      </c>
      <c r="P22" s="36" t="str">
        <f t="shared" si="4"/>
        <v/>
      </c>
      <c r="Q22" s="26">
        <f t="shared" si="21"/>
        <v>48.98</v>
      </c>
      <c r="R22" s="36" t="str">
        <f t="shared" si="5"/>
        <v/>
      </c>
      <c r="S22" s="26">
        <f t="shared" si="22"/>
        <v>11.46</v>
      </c>
      <c r="T22" s="36" t="str">
        <f t="shared" si="6"/>
        <v/>
      </c>
      <c r="U22" s="144">
        <v>78</v>
      </c>
      <c r="V22" s="36" t="str">
        <f t="shared" si="7"/>
        <v/>
      </c>
      <c r="W22" s="133">
        <f t="shared" si="8"/>
        <v>24.25</v>
      </c>
      <c r="X22" s="36" t="str">
        <f t="shared" si="9"/>
        <v/>
      </c>
      <c r="Y22" s="134"/>
      <c r="Z22" s="36" t="str">
        <f t="shared" si="10"/>
        <v/>
      </c>
      <c r="AA22" s="133">
        <f t="shared" si="23"/>
        <v>23.7</v>
      </c>
      <c r="AB22" s="36" t="str">
        <f t="shared" si="11"/>
        <v/>
      </c>
      <c r="AC22" s="133">
        <v>20</v>
      </c>
      <c r="AD22" s="36" t="str">
        <f t="shared" si="12"/>
        <v/>
      </c>
      <c r="AE22" s="133"/>
      <c r="AF22" s="36" t="str">
        <f t="shared" si="13"/>
        <v/>
      </c>
      <c r="AG22" s="133"/>
      <c r="AH22" s="36" t="str">
        <f t="shared" si="14"/>
        <v/>
      </c>
      <c r="AI22" s="90">
        <v>317</v>
      </c>
      <c r="AJ22" s="178"/>
      <c r="AK22" s="36" t="str">
        <f t="shared" si="15"/>
        <v/>
      </c>
      <c r="AL22" s="26">
        <f t="shared" si="24"/>
        <v>790</v>
      </c>
      <c r="AM22" s="36" t="str">
        <f t="shared" si="16"/>
        <v/>
      </c>
      <c r="AN22" s="26">
        <f t="shared" si="25"/>
        <v>790</v>
      </c>
      <c r="AO22" s="36" t="str">
        <f t="shared" si="17"/>
        <v/>
      </c>
      <c r="AP22" s="133"/>
      <c r="AQ22" s="36" t="str">
        <f t="shared" si="18"/>
        <v/>
      </c>
      <c r="AR22" s="133"/>
      <c r="AS22" s="36" t="str">
        <f t="shared" si="19"/>
        <v/>
      </c>
      <c r="AT22" s="99"/>
      <c r="AU22" s="205">
        <f>19.75*40</f>
        <v>790</v>
      </c>
      <c r="AV22" s="205"/>
      <c r="AW22" s="205"/>
      <c r="AX22" s="205">
        <f t="shared" si="26"/>
        <v>790</v>
      </c>
      <c r="AY22" s="26">
        <f t="shared" si="27"/>
        <v>48.98</v>
      </c>
      <c r="AZ22" s="26">
        <f t="shared" si="28"/>
        <v>11.46</v>
      </c>
      <c r="BA22" s="53">
        <v>78</v>
      </c>
      <c r="BB22" s="25">
        <f t="shared" si="29"/>
        <v>24.25</v>
      </c>
      <c r="BC22" s="25">
        <f t="shared" si="30"/>
        <v>0.55000000000000004</v>
      </c>
      <c r="BD22" s="25">
        <f t="shared" si="31"/>
        <v>23.7</v>
      </c>
      <c r="BE22" s="26">
        <v>20</v>
      </c>
      <c r="BF22" s="26">
        <v>0</v>
      </c>
      <c r="BG22" s="26">
        <v>1.65</v>
      </c>
      <c r="BH22" s="3">
        <f t="shared" si="20"/>
        <v>581.41</v>
      </c>
      <c r="BI22" s="26">
        <f t="shared" si="32"/>
        <v>790</v>
      </c>
      <c r="BJ22" s="26">
        <f t="shared" si="33"/>
        <v>790</v>
      </c>
      <c r="BK22" s="26">
        <f t="shared" si="34"/>
        <v>790</v>
      </c>
      <c r="BL22" s="26">
        <f t="shared" si="35"/>
        <v>790</v>
      </c>
    </row>
    <row r="23" spans="2:64" ht="15">
      <c r="B23" s="18" t="s">
        <v>32</v>
      </c>
      <c r="C23" s="103"/>
      <c r="D23" s="20"/>
      <c r="E23" s="194" t="s">
        <v>8</v>
      </c>
      <c r="F23" s="194">
        <v>3</v>
      </c>
      <c r="G23" s="176">
        <v>40</v>
      </c>
      <c r="H23" s="175"/>
      <c r="I23" s="67">
        <v>515</v>
      </c>
      <c r="J23" s="35" t="str">
        <f t="shared" si="0"/>
        <v/>
      </c>
      <c r="K23" s="78">
        <v>1.25</v>
      </c>
      <c r="L23" s="95">
        <f>ROUND(I23/40,2)*1.5</f>
        <v>19.32</v>
      </c>
      <c r="M23" s="76">
        <f t="shared" si="1"/>
        <v>24.15</v>
      </c>
      <c r="N23" s="35" t="str">
        <f t="shared" si="2"/>
        <v/>
      </c>
      <c r="O23" s="53">
        <f t="shared" si="3"/>
        <v>539.15</v>
      </c>
      <c r="P23" s="36" t="str">
        <f t="shared" si="4"/>
        <v/>
      </c>
      <c r="Q23" s="26">
        <f t="shared" si="21"/>
        <v>33.43</v>
      </c>
      <c r="R23" s="36" t="str">
        <f t="shared" si="5"/>
        <v/>
      </c>
      <c r="S23" s="26">
        <f t="shared" si="22"/>
        <v>7.82</v>
      </c>
      <c r="T23" s="36" t="str">
        <f t="shared" si="6"/>
        <v/>
      </c>
      <c r="U23" s="144">
        <v>10</v>
      </c>
      <c r="V23" s="36" t="str">
        <f t="shared" si="7"/>
        <v/>
      </c>
      <c r="W23" s="133">
        <f t="shared" si="8"/>
        <v>16.55</v>
      </c>
      <c r="X23" s="36" t="str">
        <f t="shared" si="9"/>
        <v/>
      </c>
      <c r="Y23" s="134"/>
      <c r="Z23" s="36" t="str">
        <f t="shared" si="10"/>
        <v/>
      </c>
      <c r="AA23" s="133">
        <f t="shared" si="23"/>
        <v>16.170000000000002</v>
      </c>
      <c r="AB23" s="36" t="str">
        <f t="shared" si="11"/>
        <v/>
      </c>
      <c r="AC23" s="133">
        <v>40</v>
      </c>
      <c r="AD23" s="36" t="str">
        <f t="shared" si="12"/>
        <v/>
      </c>
      <c r="AE23" s="133"/>
      <c r="AF23" s="36" t="str">
        <f t="shared" si="13"/>
        <v/>
      </c>
      <c r="AG23" s="133"/>
      <c r="AH23" s="36" t="str">
        <f t="shared" si="14"/>
        <v/>
      </c>
      <c r="AI23" s="90">
        <v>318</v>
      </c>
      <c r="AJ23" s="178"/>
      <c r="AK23" s="36" t="str">
        <f t="shared" si="15"/>
        <v/>
      </c>
      <c r="AL23" s="26">
        <f t="shared" si="24"/>
        <v>539.15</v>
      </c>
      <c r="AM23" s="36" t="str">
        <f t="shared" si="16"/>
        <v/>
      </c>
      <c r="AN23" s="26">
        <f t="shared" si="25"/>
        <v>539.15</v>
      </c>
      <c r="AO23" s="36" t="str">
        <f t="shared" si="17"/>
        <v/>
      </c>
      <c r="AP23" s="133"/>
      <c r="AQ23" s="36" t="str">
        <f t="shared" si="18"/>
        <v/>
      </c>
      <c r="AR23" s="133"/>
      <c r="AS23" s="36" t="str">
        <f t="shared" si="19"/>
        <v/>
      </c>
      <c r="AT23" s="99"/>
      <c r="AU23" s="205">
        <v>515</v>
      </c>
      <c r="AV23" s="205">
        <f>ROUND(515/40,2)*1.5*1.25</f>
        <v>24.15</v>
      </c>
      <c r="AW23" s="205"/>
      <c r="AX23" s="205">
        <f t="shared" si="26"/>
        <v>539.15</v>
      </c>
      <c r="AY23" s="26">
        <f t="shared" si="27"/>
        <v>33.43</v>
      </c>
      <c r="AZ23" s="26">
        <f t="shared" si="28"/>
        <v>7.82</v>
      </c>
      <c r="BA23" s="53">
        <v>10</v>
      </c>
      <c r="BB23" s="25">
        <f t="shared" si="29"/>
        <v>16.55</v>
      </c>
      <c r="BC23" s="25">
        <f t="shared" si="30"/>
        <v>0.38</v>
      </c>
      <c r="BD23" s="25">
        <f t="shared" si="31"/>
        <v>16.170000000000002</v>
      </c>
      <c r="BE23" s="26">
        <v>40</v>
      </c>
      <c r="BF23" s="26">
        <v>0.85</v>
      </c>
      <c r="BG23" s="26">
        <v>1.65</v>
      </c>
      <c r="BH23" s="3">
        <f t="shared" si="20"/>
        <v>412.3</v>
      </c>
      <c r="BI23" s="26">
        <f t="shared" si="32"/>
        <v>539.15</v>
      </c>
      <c r="BJ23" s="26">
        <f t="shared" si="33"/>
        <v>539.15</v>
      </c>
      <c r="BK23" s="26">
        <f t="shared" si="34"/>
        <v>539.15</v>
      </c>
      <c r="BL23" s="26">
        <f t="shared" si="35"/>
        <v>539.15</v>
      </c>
    </row>
    <row r="24" spans="2:64" ht="15">
      <c r="B24" s="18" t="s">
        <v>33</v>
      </c>
      <c r="C24" s="103"/>
      <c r="D24" s="20"/>
      <c r="E24" s="194" t="s">
        <v>8</v>
      </c>
      <c r="F24" s="194">
        <v>6</v>
      </c>
      <c r="G24" s="176">
        <v>40</v>
      </c>
      <c r="H24" s="175"/>
      <c r="I24" s="67">
        <f>ROUND(2700*12/52,2)</f>
        <v>623.08000000000004</v>
      </c>
      <c r="J24" s="35" t="str">
        <f t="shared" si="0"/>
        <v/>
      </c>
      <c r="K24" s="78"/>
      <c r="L24" s="94"/>
      <c r="M24" s="67"/>
      <c r="N24" s="35" t="str">
        <f t="shared" si="2"/>
        <v/>
      </c>
      <c r="O24" s="53">
        <f t="shared" si="3"/>
        <v>623.08000000000004</v>
      </c>
      <c r="P24" s="36" t="str">
        <f t="shared" si="4"/>
        <v/>
      </c>
      <c r="Q24" s="26">
        <f t="shared" si="21"/>
        <v>38.630000000000003</v>
      </c>
      <c r="R24" s="36" t="str">
        <f t="shared" si="5"/>
        <v/>
      </c>
      <c r="S24" s="26">
        <f t="shared" si="22"/>
        <v>9.0299999999999994</v>
      </c>
      <c r="T24" s="36" t="str">
        <f t="shared" si="6"/>
        <v/>
      </c>
      <c r="U24" s="144">
        <v>0</v>
      </c>
      <c r="V24" s="36" t="str">
        <f t="shared" si="7"/>
        <v/>
      </c>
      <c r="W24" s="133">
        <f t="shared" si="8"/>
        <v>19.13</v>
      </c>
      <c r="X24" s="36" t="str">
        <f t="shared" si="9"/>
        <v/>
      </c>
      <c r="Y24" s="134"/>
      <c r="Z24" s="36" t="str">
        <f t="shared" si="10"/>
        <v/>
      </c>
      <c r="AA24" s="133">
        <f t="shared" si="23"/>
        <v>18.690000000000001</v>
      </c>
      <c r="AB24" s="36" t="str">
        <f t="shared" si="11"/>
        <v/>
      </c>
      <c r="AC24" s="133">
        <v>50</v>
      </c>
      <c r="AD24" s="36" t="str">
        <f t="shared" si="12"/>
        <v/>
      </c>
      <c r="AE24" s="133"/>
      <c r="AF24" s="36" t="str">
        <f t="shared" si="13"/>
        <v/>
      </c>
      <c r="AG24" s="133"/>
      <c r="AH24" s="36" t="str">
        <f t="shared" si="14"/>
        <v/>
      </c>
      <c r="AI24" s="90">
        <v>319</v>
      </c>
      <c r="AJ24" s="178"/>
      <c r="AK24" s="36" t="str">
        <f t="shared" si="15"/>
        <v/>
      </c>
      <c r="AL24" s="26">
        <f t="shared" si="24"/>
        <v>623.08000000000004</v>
      </c>
      <c r="AM24" s="36" t="str">
        <f t="shared" si="16"/>
        <v/>
      </c>
      <c r="AN24" s="26">
        <f t="shared" si="25"/>
        <v>623.08000000000004</v>
      </c>
      <c r="AO24" s="36" t="str">
        <f t="shared" si="17"/>
        <v/>
      </c>
      <c r="AP24" s="133"/>
      <c r="AQ24" s="36" t="str">
        <f t="shared" si="18"/>
        <v/>
      </c>
      <c r="AR24" s="133"/>
      <c r="AS24" s="36" t="str">
        <f t="shared" si="19"/>
        <v/>
      </c>
      <c r="AT24" s="99"/>
      <c r="AU24" s="205">
        <f>ROUND(2700*12/52,2)</f>
        <v>623.08000000000004</v>
      </c>
      <c r="AV24" s="205"/>
      <c r="AW24" s="205"/>
      <c r="AX24" s="205">
        <f t="shared" si="26"/>
        <v>623.08000000000004</v>
      </c>
      <c r="AY24" s="26">
        <f t="shared" si="27"/>
        <v>38.630000000000003</v>
      </c>
      <c r="AZ24" s="26">
        <f t="shared" si="28"/>
        <v>9.0299999999999994</v>
      </c>
      <c r="BA24" s="53">
        <v>0</v>
      </c>
      <c r="BB24" s="25">
        <f t="shared" si="29"/>
        <v>19.13</v>
      </c>
      <c r="BC24" s="25">
        <f t="shared" si="30"/>
        <v>0.44</v>
      </c>
      <c r="BD24" s="25">
        <f t="shared" si="31"/>
        <v>18.690000000000001</v>
      </c>
      <c r="BE24" s="26">
        <v>50</v>
      </c>
      <c r="BF24" s="26">
        <v>0.85</v>
      </c>
      <c r="BG24" s="26">
        <v>1.65</v>
      </c>
      <c r="BH24" s="3">
        <f t="shared" si="20"/>
        <v>484.66</v>
      </c>
      <c r="BI24" s="26">
        <f t="shared" si="32"/>
        <v>623.08000000000004</v>
      </c>
      <c r="BJ24" s="26">
        <f t="shared" si="33"/>
        <v>623.08000000000004</v>
      </c>
      <c r="BK24" s="26">
        <f t="shared" si="34"/>
        <v>623.08000000000004</v>
      </c>
      <c r="BL24" s="26">
        <f t="shared" si="35"/>
        <v>623.08000000000004</v>
      </c>
    </row>
    <row r="25" spans="2:64" ht="15">
      <c r="B25" s="18" t="s">
        <v>34</v>
      </c>
      <c r="C25" s="103"/>
      <c r="D25" s="20"/>
      <c r="E25" s="194" t="s">
        <v>9</v>
      </c>
      <c r="F25" s="194">
        <v>1</v>
      </c>
      <c r="G25" s="176">
        <v>40</v>
      </c>
      <c r="H25" s="175"/>
      <c r="I25" s="67">
        <f>ROUND(3350*12/52,2)</f>
        <v>773.08</v>
      </c>
      <c r="J25" s="35" t="str">
        <f t="shared" si="0"/>
        <v/>
      </c>
      <c r="K25" s="78"/>
      <c r="L25" s="94"/>
      <c r="M25" s="67"/>
      <c r="N25" s="35" t="str">
        <f t="shared" si="2"/>
        <v/>
      </c>
      <c r="O25" s="53">
        <f t="shared" si="3"/>
        <v>773.08</v>
      </c>
      <c r="P25" s="36" t="str">
        <f t="shared" si="4"/>
        <v/>
      </c>
      <c r="Q25" s="26">
        <f t="shared" si="21"/>
        <v>47.93</v>
      </c>
      <c r="R25" s="36" t="str">
        <f t="shared" si="5"/>
        <v/>
      </c>
      <c r="S25" s="26">
        <f t="shared" si="22"/>
        <v>11.21</v>
      </c>
      <c r="T25" s="36" t="str">
        <f t="shared" si="6"/>
        <v/>
      </c>
      <c r="U25" s="144">
        <v>80</v>
      </c>
      <c r="V25" s="36" t="str">
        <f t="shared" si="7"/>
        <v/>
      </c>
      <c r="W25" s="133">
        <f t="shared" si="8"/>
        <v>23.73</v>
      </c>
      <c r="X25" s="36" t="str">
        <f t="shared" si="9"/>
        <v/>
      </c>
      <c r="Y25" s="134"/>
      <c r="Z25" s="36" t="str">
        <f t="shared" si="10"/>
        <v/>
      </c>
      <c r="AA25" s="133">
        <f t="shared" si="23"/>
        <v>23.19</v>
      </c>
      <c r="AB25" s="36" t="str">
        <f t="shared" si="11"/>
        <v/>
      </c>
      <c r="AC25" s="133">
        <v>60</v>
      </c>
      <c r="AD25" s="36" t="str">
        <f t="shared" si="12"/>
        <v/>
      </c>
      <c r="AE25" s="133"/>
      <c r="AF25" s="36" t="str">
        <f t="shared" si="13"/>
        <v/>
      </c>
      <c r="AG25" s="133"/>
      <c r="AH25" s="36" t="str">
        <f t="shared" si="14"/>
        <v/>
      </c>
      <c r="AI25" s="90">
        <v>320</v>
      </c>
      <c r="AJ25" s="178"/>
      <c r="AK25" s="36" t="str">
        <f t="shared" si="15"/>
        <v/>
      </c>
      <c r="AL25" s="26">
        <f t="shared" si="24"/>
        <v>773.08</v>
      </c>
      <c r="AM25" s="36" t="str">
        <f t="shared" si="16"/>
        <v/>
      </c>
      <c r="AN25" s="26">
        <f t="shared" si="25"/>
        <v>773.08</v>
      </c>
      <c r="AO25" s="36" t="str">
        <f t="shared" si="17"/>
        <v/>
      </c>
      <c r="AP25" s="133"/>
      <c r="AQ25" s="36" t="str">
        <f t="shared" si="18"/>
        <v/>
      </c>
      <c r="AR25" s="133"/>
      <c r="AS25" s="36" t="str">
        <f t="shared" si="19"/>
        <v/>
      </c>
      <c r="AT25" s="99"/>
      <c r="AU25" s="205">
        <f>ROUND(3350*12/52,2)</f>
        <v>773.08</v>
      </c>
      <c r="AV25" s="205"/>
      <c r="AW25" s="205"/>
      <c r="AX25" s="205">
        <f t="shared" si="26"/>
        <v>773.08</v>
      </c>
      <c r="AY25" s="26">
        <f t="shared" si="27"/>
        <v>47.93</v>
      </c>
      <c r="AZ25" s="26">
        <f t="shared" si="28"/>
        <v>11.21</v>
      </c>
      <c r="BA25" s="53">
        <v>80</v>
      </c>
      <c r="BB25" s="25">
        <f t="shared" si="29"/>
        <v>23.73</v>
      </c>
      <c r="BC25" s="25">
        <f t="shared" si="30"/>
        <v>0.54</v>
      </c>
      <c r="BD25" s="25">
        <f t="shared" si="31"/>
        <v>23.19</v>
      </c>
      <c r="BE25" s="26">
        <v>60</v>
      </c>
      <c r="BF25" s="26">
        <v>0</v>
      </c>
      <c r="BG25" s="26">
        <v>1.65</v>
      </c>
      <c r="BH25" s="3">
        <f t="shared" si="20"/>
        <v>524.83000000000004</v>
      </c>
      <c r="BI25" s="26">
        <f t="shared" si="32"/>
        <v>773.08</v>
      </c>
      <c r="BJ25" s="26">
        <f t="shared" si="33"/>
        <v>773.08</v>
      </c>
      <c r="BK25" s="26">
        <f t="shared" si="34"/>
        <v>773.08</v>
      </c>
      <c r="BL25" s="26">
        <f t="shared" si="35"/>
        <v>773.08</v>
      </c>
    </row>
    <row r="26" spans="2:64" ht="15">
      <c r="B26" s="18" t="s">
        <v>35</v>
      </c>
      <c r="C26" s="103"/>
      <c r="D26" s="20"/>
      <c r="E26" s="194" t="s">
        <v>8</v>
      </c>
      <c r="F26" s="194">
        <v>5</v>
      </c>
      <c r="G26" s="176">
        <v>40</v>
      </c>
      <c r="H26" s="175"/>
      <c r="I26" s="67">
        <f>ROUND(2510*12/52,2)</f>
        <v>579.23</v>
      </c>
      <c r="J26" s="35" t="str">
        <f t="shared" si="0"/>
        <v/>
      </c>
      <c r="K26" s="78">
        <v>4</v>
      </c>
      <c r="L26" s="94">
        <f>ROUND(I26/40,2)*1.5</f>
        <v>21.72</v>
      </c>
      <c r="M26" s="74">
        <f>K26*L26</f>
        <v>86.88</v>
      </c>
      <c r="N26" s="35" t="str">
        <f t="shared" si="2"/>
        <v/>
      </c>
      <c r="O26" s="53">
        <f t="shared" si="3"/>
        <v>666.11</v>
      </c>
      <c r="P26" s="36" t="str">
        <f t="shared" si="4"/>
        <v/>
      </c>
      <c r="Q26" s="26">
        <f t="shared" si="21"/>
        <v>41.3</v>
      </c>
      <c r="R26" s="36" t="str">
        <f t="shared" si="5"/>
        <v/>
      </c>
      <c r="S26" s="26">
        <f t="shared" si="22"/>
        <v>9.66</v>
      </c>
      <c r="T26" s="36" t="str">
        <f t="shared" si="6"/>
        <v/>
      </c>
      <c r="U26" s="144">
        <v>9</v>
      </c>
      <c r="V26" s="36" t="str">
        <f t="shared" si="7"/>
        <v/>
      </c>
      <c r="W26" s="133">
        <f t="shared" si="8"/>
        <v>20.45</v>
      </c>
      <c r="X26" s="36" t="str">
        <f t="shared" si="9"/>
        <v/>
      </c>
      <c r="Y26" s="134"/>
      <c r="Z26" s="36" t="str">
        <f t="shared" si="10"/>
        <v/>
      </c>
      <c r="AA26" s="133">
        <f t="shared" si="23"/>
        <v>19.98</v>
      </c>
      <c r="AB26" s="36" t="str">
        <f t="shared" si="11"/>
        <v/>
      </c>
      <c r="AC26" s="133">
        <v>30</v>
      </c>
      <c r="AD26" s="36" t="str">
        <f t="shared" si="12"/>
        <v/>
      </c>
      <c r="AE26" s="133"/>
      <c r="AF26" s="36" t="str">
        <f t="shared" si="13"/>
        <v/>
      </c>
      <c r="AG26" s="133"/>
      <c r="AH26" s="36" t="str">
        <f t="shared" si="14"/>
        <v/>
      </c>
      <c r="AI26" s="90">
        <v>321</v>
      </c>
      <c r="AJ26" s="178"/>
      <c r="AK26" s="36" t="str">
        <f t="shared" si="15"/>
        <v/>
      </c>
      <c r="AL26" s="26">
        <f t="shared" si="24"/>
        <v>666.11</v>
      </c>
      <c r="AM26" s="36" t="str">
        <f t="shared" si="16"/>
        <v/>
      </c>
      <c r="AN26" s="26">
        <f t="shared" si="25"/>
        <v>666.11</v>
      </c>
      <c r="AO26" s="36" t="str">
        <f t="shared" si="17"/>
        <v/>
      </c>
      <c r="AP26" s="133"/>
      <c r="AQ26" s="36" t="str">
        <f t="shared" si="18"/>
        <v/>
      </c>
      <c r="AR26" s="133"/>
      <c r="AS26" s="36" t="str">
        <f t="shared" si="19"/>
        <v/>
      </c>
      <c r="AT26" s="99"/>
      <c r="AU26" s="205">
        <f>ROUND(2510*12/52,2)</f>
        <v>579.23</v>
      </c>
      <c r="AV26" s="205">
        <f>ROUND(579.23/40,2)*1.5*4</f>
        <v>86.88</v>
      </c>
      <c r="AW26" s="205"/>
      <c r="AX26" s="205">
        <f t="shared" si="26"/>
        <v>666.11</v>
      </c>
      <c r="AY26" s="26">
        <f t="shared" si="27"/>
        <v>41.3</v>
      </c>
      <c r="AZ26" s="26">
        <f t="shared" si="28"/>
        <v>9.66</v>
      </c>
      <c r="BA26" s="53">
        <v>9</v>
      </c>
      <c r="BB26" s="25">
        <f t="shared" si="29"/>
        <v>20.45</v>
      </c>
      <c r="BC26" s="25">
        <f t="shared" si="30"/>
        <v>0.47</v>
      </c>
      <c r="BD26" s="25">
        <f t="shared" si="31"/>
        <v>19.98</v>
      </c>
      <c r="BE26" s="26">
        <v>30</v>
      </c>
      <c r="BF26" s="26">
        <v>0.85</v>
      </c>
      <c r="BG26" s="26">
        <v>1.65</v>
      </c>
      <c r="BH26" s="3">
        <f t="shared" si="20"/>
        <v>532.75</v>
      </c>
      <c r="BI26" s="26">
        <f t="shared" si="32"/>
        <v>666.11</v>
      </c>
      <c r="BJ26" s="26">
        <f t="shared" si="33"/>
        <v>666.11</v>
      </c>
      <c r="BK26" s="26">
        <f t="shared" si="34"/>
        <v>666.11</v>
      </c>
      <c r="BL26" s="26">
        <f t="shared" si="35"/>
        <v>666.11</v>
      </c>
    </row>
    <row r="27" spans="2:64" ht="15">
      <c r="B27" s="18" t="s">
        <v>36</v>
      </c>
      <c r="C27" s="103"/>
      <c r="D27" s="20"/>
      <c r="E27" s="194" t="s">
        <v>8</v>
      </c>
      <c r="F27" s="194">
        <v>7</v>
      </c>
      <c r="G27" s="176">
        <v>40</v>
      </c>
      <c r="H27" s="175"/>
      <c r="I27" s="69">
        <f>ROUND(52000/52,2)</f>
        <v>1000</v>
      </c>
      <c r="J27" s="35" t="str">
        <f t="shared" si="0"/>
        <v/>
      </c>
      <c r="K27" s="79"/>
      <c r="L27" s="79"/>
      <c r="M27" s="69"/>
      <c r="N27" s="35" t="str">
        <f t="shared" si="2"/>
        <v/>
      </c>
      <c r="O27" s="53">
        <f t="shared" si="3"/>
        <v>1000</v>
      </c>
      <c r="P27" s="47" t="str">
        <f t="shared" si="4"/>
        <v/>
      </c>
      <c r="Q27" s="26">
        <f t="shared" si="21"/>
        <v>62</v>
      </c>
      <c r="R27" s="5" t="str">
        <f t="shared" si="5"/>
        <v/>
      </c>
      <c r="S27" s="26">
        <f t="shared" si="22"/>
        <v>14.5</v>
      </c>
      <c r="T27" s="36" t="str">
        <f t="shared" si="6"/>
        <v/>
      </c>
      <c r="U27" s="145">
        <v>22</v>
      </c>
      <c r="V27" s="50" t="str">
        <f t="shared" si="7"/>
        <v/>
      </c>
      <c r="W27" s="133">
        <f t="shared" si="8"/>
        <v>30.7</v>
      </c>
      <c r="X27" s="36" t="str">
        <f t="shared" si="9"/>
        <v/>
      </c>
      <c r="Y27" s="134"/>
      <c r="Z27" s="61" t="str">
        <f t="shared" si="10"/>
        <v/>
      </c>
      <c r="AA27" s="146">
        <f t="shared" si="23"/>
        <v>30</v>
      </c>
      <c r="AB27" s="36" t="str">
        <f t="shared" si="11"/>
        <v/>
      </c>
      <c r="AC27" s="146">
        <v>80</v>
      </c>
      <c r="AD27" s="36" t="str">
        <f t="shared" si="12"/>
        <v/>
      </c>
      <c r="AE27" s="146"/>
      <c r="AF27" s="61" t="str">
        <f t="shared" si="13"/>
        <v/>
      </c>
      <c r="AG27" s="146"/>
      <c r="AH27" s="61" t="str">
        <f t="shared" si="14"/>
        <v/>
      </c>
      <c r="AI27" s="90">
        <v>322</v>
      </c>
      <c r="AJ27" s="178"/>
      <c r="AK27" s="36" t="str">
        <f t="shared" si="15"/>
        <v/>
      </c>
      <c r="AL27" s="38">
        <f t="shared" si="24"/>
        <v>1000</v>
      </c>
      <c r="AM27" s="61" t="str">
        <f t="shared" si="16"/>
        <v/>
      </c>
      <c r="AN27" s="62">
        <f t="shared" si="25"/>
        <v>1000</v>
      </c>
      <c r="AO27" s="61" t="str">
        <f t="shared" si="17"/>
        <v/>
      </c>
      <c r="AP27" s="146"/>
      <c r="AQ27" s="36" t="str">
        <f t="shared" si="18"/>
        <v/>
      </c>
      <c r="AR27" s="146"/>
      <c r="AS27" s="36" t="str">
        <f t="shared" si="19"/>
        <v/>
      </c>
      <c r="AT27" s="99"/>
      <c r="AU27" s="205">
        <f>ROUND(52000/52,2)</f>
        <v>1000</v>
      </c>
      <c r="AV27" s="205"/>
      <c r="AW27" s="205"/>
      <c r="AX27" s="205">
        <f t="shared" si="26"/>
        <v>1000</v>
      </c>
      <c r="AY27" s="26">
        <f t="shared" si="27"/>
        <v>62</v>
      </c>
      <c r="AZ27" s="26">
        <f t="shared" si="28"/>
        <v>14.5</v>
      </c>
      <c r="BA27" s="51">
        <v>22</v>
      </c>
      <c r="BB27" s="25">
        <f t="shared" si="29"/>
        <v>30.7</v>
      </c>
      <c r="BC27" s="25">
        <f t="shared" si="30"/>
        <v>0.7</v>
      </c>
      <c r="BD27" s="25">
        <f t="shared" si="31"/>
        <v>30</v>
      </c>
      <c r="BE27" s="38">
        <v>80</v>
      </c>
      <c r="BF27" s="38">
        <v>0.85</v>
      </c>
      <c r="BG27" s="38">
        <v>1.65</v>
      </c>
      <c r="BH27" s="3">
        <f t="shared" si="20"/>
        <v>757.6</v>
      </c>
      <c r="BI27" s="38">
        <f t="shared" si="32"/>
        <v>1000</v>
      </c>
      <c r="BJ27" s="62">
        <f t="shared" si="33"/>
        <v>1000</v>
      </c>
      <c r="BK27" s="62">
        <f t="shared" si="34"/>
        <v>1000</v>
      </c>
      <c r="BL27" s="62">
        <f t="shared" si="35"/>
        <v>1000</v>
      </c>
    </row>
    <row r="28" spans="2:64" ht="13" customHeight="1" thickBot="1">
      <c r="B28" s="18" t="s">
        <v>14</v>
      </c>
      <c r="C28" s="103"/>
      <c r="D28" s="20"/>
      <c r="E28" s="19"/>
      <c r="F28" s="19"/>
      <c r="G28" s="65"/>
      <c r="H28" s="19"/>
      <c r="I28" s="70">
        <f>SUM(I18:I27)</f>
        <v>7065.14</v>
      </c>
      <c r="J28" s="37" t="str">
        <f t="shared" si="0"/>
        <v/>
      </c>
      <c r="K28" s="100"/>
      <c r="L28" s="101"/>
      <c r="M28" s="70">
        <f>SUM(M18:M27)</f>
        <v>479.17</v>
      </c>
      <c r="N28" s="37" t="str">
        <f t="shared" si="2"/>
        <v/>
      </c>
      <c r="O28" s="70">
        <f>SUM(O18:O27)</f>
        <v>7544.31</v>
      </c>
      <c r="P28" s="37" t="str">
        <f t="shared" si="4"/>
        <v/>
      </c>
      <c r="Q28" s="70">
        <f>SUM(Q18:Q27)</f>
        <v>467.75</v>
      </c>
      <c r="R28" s="37" t="str">
        <f t="shared" si="5"/>
        <v/>
      </c>
      <c r="S28" s="70">
        <f>SUM(S18:S27)</f>
        <v>109.4</v>
      </c>
      <c r="T28" s="37" t="str">
        <f t="shared" si="6"/>
        <v/>
      </c>
      <c r="U28" s="122">
        <f>SUM(U18:U27)</f>
        <v>461</v>
      </c>
      <c r="V28" s="37" t="str">
        <f t="shared" si="7"/>
        <v/>
      </c>
      <c r="W28" s="122">
        <f>SUM(W18:W27)</f>
        <v>231.61</v>
      </c>
      <c r="X28" s="37" t="str">
        <f t="shared" si="9"/>
        <v/>
      </c>
      <c r="Y28" s="122"/>
      <c r="Z28" s="37" t="str">
        <f t="shared" si="10"/>
        <v/>
      </c>
      <c r="AA28" s="122">
        <f>SUM(AA18:AA27)</f>
        <v>226.31</v>
      </c>
      <c r="AB28" s="37" t="str">
        <f t="shared" si="11"/>
        <v/>
      </c>
      <c r="AC28" s="122">
        <f>SUM(AC18:AC27)</f>
        <v>440</v>
      </c>
      <c r="AD28" s="37" t="str">
        <f t="shared" si="12"/>
        <v/>
      </c>
      <c r="AE28" s="122"/>
      <c r="AF28" s="37" t="str">
        <f t="shared" si="13"/>
        <v/>
      </c>
      <c r="AG28" s="122"/>
      <c r="AH28" s="37" t="str">
        <f t="shared" si="14"/>
        <v/>
      </c>
      <c r="AI28" s="91"/>
      <c r="AJ28" s="122"/>
      <c r="AK28" s="37" t="str">
        <f t="shared" si="15"/>
        <v/>
      </c>
      <c r="AL28" s="70">
        <f>SUM(AL18:AL27)</f>
        <v>7544.31</v>
      </c>
      <c r="AM28" s="37" t="str">
        <f t="shared" si="16"/>
        <v/>
      </c>
      <c r="AN28" s="70">
        <f>SUM(AN18:AN27)</f>
        <v>7544.31</v>
      </c>
      <c r="AO28" s="37" t="str">
        <f t="shared" si="17"/>
        <v/>
      </c>
      <c r="AP28" s="122"/>
      <c r="AQ28" s="37" t="str">
        <f t="shared" si="18"/>
        <v/>
      </c>
      <c r="AR28" s="122"/>
      <c r="AS28" s="37" t="str">
        <f t="shared" si="19"/>
        <v/>
      </c>
      <c r="AT28" s="99"/>
      <c r="AU28" s="70">
        <f>SUM(AU18:AU27)</f>
        <v>7065.14</v>
      </c>
      <c r="AV28" s="70">
        <f>SUM(AV18:AV27)</f>
        <v>479.17</v>
      </c>
      <c r="AW28" s="48"/>
      <c r="AX28" s="70">
        <f t="shared" ref="AX28:BL28" si="36">SUM(AX18:AX27)</f>
        <v>7544.31</v>
      </c>
      <c r="AY28" s="70">
        <f t="shared" si="36"/>
        <v>467.75</v>
      </c>
      <c r="AZ28" s="70">
        <f t="shared" si="36"/>
        <v>109.4</v>
      </c>
      <c r="BA28" s="70">
        <f t="shared" si="36"/>
        <v>461</v>
      </c>
      <c r="BB28" s="70">
        <f t="shared" si="36"/>
        <v>231.61</v>
      </c>
      <c r="BC28" s="70">
        <f t="shared" si="36"/>
        <v>5.29</v>
      </c>
      <c r="BD28" s="70">
        <f t="shared" si="36"/>
        <v>226.31</v>
      </c>
      <c r="BE28" s="70">
        <f t="shared" si="36"/>
        <v>440</v>
      </c>
      <c r="BF28" s="70">
        <f t="shared" si="36"/>
        <v>6.8</v>
      </c>
      <c r="BG28" s="70">
        <f t="shared" si="36"/>
        <v>16.5</v>
      </c>
      <c r="BH28" s="70">
        <f t="shared" si="36"/>
        <v>5579.65</v>
      </c>
      <c r="BI28" s="70">
        <f t="shared" si="36"/>
        <v>7544.31</v>
      </c>
      <c r="BJ28" s="70">
        <f t="shared" si="36"/>
        <v>7544.31</v>
      </c>
      <c r="BK28" s="70">
        <f t="shared" si="36"/>
        <v>7544.31</v>
      </c>
      <c r="BL28" s="70">
        <f t="shared" si="36"/>
        <v>7544.31</v>
      </c>
    </row>
    <row r="29" spans="2:64" ht="13" thickTop="1"/>
    <row r="31" spans="2:64" ht="13" customHeight="1">
      <c r="D31" s="211" t="s">
        <v>25</v>
      </c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</row>
    <row r="32" spans="2:64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4:57" ht="13">
      <c r="D33" s="58"/>
      <c r="E33" s="213" t="s">
        <v>22</v>
      </c>
      <c r="F33" s="213"/>
      <c r="G33" s="58"/>
      <c r="H33" s="213" t="s">
        <v>21</v>
      </c>
      <c r="I33" s="213"/>
      <c r="J33" s="213"/>
      <c r="K33" s="213"/>
      <c r="L33" s="57"/>
      <c r="M33" s="58" t="s">
        <v>23</v>
      </c>
      <c r="N33" s="57"/>
      <c r="O33" s="58" t="s">
        <v>24</v>
      </c>
      <c r="P33" s="57"/>
      <c r="S33" s="4"/>
      <c r="T33" s="4"/>
      <c r="U33" s="105" t="s">
        <v>96</v>
      </c>
      <c r="V33" s="4"/>
      <c r="W33" s="4"/>
      <c r="X33" s="4"/>
      <c r="Y33" s="105" t="s">
        <v>93</v>
      </c>
      <c r="Z33" s="4"/>
    </row>
    <row r="34" spans="4:57" ht="13">
      <c r="D34" s="4"/>
      <c r="E34" s="4" t="s">
        <v>20</v>
      </c>
      <c r="F34" s="4"/>
      <c r="G34" s="4"/>
      <c r="H34" s="214"/>
      <c r="I34" s="214"/>
      <c r="J34" s="214"/>
      <c r="K34" s="214"/>
      <c r="L34" s="4"/>
      <c r="M34" s="4"/>
      <c r="N34" s="4"/>
      <c r="O34" s="4"/>
      <c r="P34" s="4"/>
      <c r="S34" s="4"/>
      <c r="T34" s="4"/>
      <c r="U34" s="105" t="s">
        <v>97</v>
      </c>
      <c r="V34" s="4"/>
      <c r="W34" s="105" t="s">
        <v>98</v>
      </c>
      <c r="X34" s="4"/>
      <c r="Y34" s="105" t="s">
        <v>100</v>
      </c>
      <c r="Z34" s="4"/>
    </row>
    <row r="35" spans="4:57" ht="15.5">
      <c r="D35" s="4"/>
      <c r="E35" s="208" t="s">
        <v>70</v>
      </c>
      <c r="F35" s="209"/>
      <c r="G35" s="4" t="s">
        <v>53</v>
      </c>
      <c r="H35" s="4"/>
      <c r="I35" s="4"/>
      <c r="J35" s="4"/>
      <c r="K35" s="4"/>
      <c r="L35" s="39"/>
      <c r="M35" s="163"/>
      <c r="N35" s="39" t="str">
        <f>IF(OR(M35="",M35=AV35),"","*")</f>
        <v/>
      </c>
      <c r="O35" s="4"/>
      <c r="P35" s="4"/>
      <c r="S35" s="4" t="s">
        <v>99</v>
      </c>
      <c r="T35" s="4"/>
      <c r="U35" s="191"/>
      <c r="V35" s="159" t="str">
        <f>IF(OR(U35="",U35=BC39),"","*")</f>
        <v/>
      </c>
      <c r="W35" s="192"/>
      <c r="X35" s="155" t="str">
        <f>IF(OR(W35="",W35=BD39),"","*")</f>
        <v/>
      </c>
      <c r="Y35" s="191"/>
      <c r="Z35" s="155" t="str">
        <f>IF(OR(Y35="",Y35=BE39),"","*")</f>
        <v/>
      </c>
      <c r="AV35" s="56">
        <f>AX28</f>
        <v>7544.31</v>
      </c>
      <c r="AX35" s="4"/>
    </row>
    <row r="36" spans="4:57" ht="15">
      <c r="D36" s="4"/>
      <c r="E36" s="208"/>
      <c r="F36" s="209"/>
      <c r="G36" s="59"/>
      <c r="H36" s="4" t="s">
        <v>54</v>
      </c>
      <c r="I36" s="4"/>
      <c r="J36" s="4"/>
      <c r="K36" s="4"/>
      <c r="L36" s="39"/>
      <c r="M36" s="4"/>
      <c r="N36" s="39" t="s">
        <v>52</v>
      </c>
      <c r="O36" s="163"/>
      <c r="P36" s="39" t="str">
        <f t="shared" ref="P36:P45" si="37">IF(OR(O36="",O36=AX36),"","*")</f>
        <v/>
      </c>
      <c r="S36" s="4"/>
      <c r="T36" s="4"/>
      <c r="U36" s="160"/>
      <c r="V36" s="4"/>
      <c r="W36" s="160"/>
      <c r="X36" s="4"/>
      <c r="Y36" s="161" t="s">
        <v>101</v>
      </c>
      <c r="Z36" s="4"/>
      <c r="AV36" s="4"/>
      <c r="AX36" s="56">
        <f>AY28</f>
        <v>467.75</v>
      </c>
    </row>
    <row r="37" spans="4:57" ht="15.5">
      <c r="D37" s="4"/>
      <c r="E37" s="4"/>
      <c r="F37" s="4"/>
      <c r="G37" s="59"/>
      <c r="H37" s="4" t="s">
        <v>55</v>
      </c>
      <c r="I37" s="4"/>
      <c r="J37" s="4"/>
      <c r="K37" s="4"/>
      <c r="L37" s="39"/>
      <c r="M37" s="4"/>
      <c r="N37" s="39" t="s">
        <v>52</v>
      </c>
      <c r="O37" s="163"/>
      <c r="P37" s="39" t="str">
        <f t="shared" si="37"/>
        <v/>
      </c>
      <c r="S37" s="4" t="s">
        <v>16</v>
      </c>
      <c r="T37" s="4"/>
      <c r="U37" s="191"/>
      <c r="V37" s="155" t="str">
        <f>IF(OR(U37="",U37=BC41),"","*")</f>
        <v/>
      </c>
      <c r="W37" s="198"/>
      <c r="X37" s="155" t="str">
        <f>IF(OR(W37="",W37=BD41),"","*")</f>
        <v/>
      </c>
      <c r="Y37" s="191"/>
      <c r="Z37" s="155" t="str">
        <f>IF(OR(Y37="",Y37=BE41),"","*")</f>
        <v/>
      </c>
      <c r="AV37" s="4"/>
      <c r="AX37" s="56">
        <f>AZ28</f>
        <v>109.4</v>
      </c>
      <c r="BC37" s="140" t="s">
        <v>96</v>
      </c>
    </row>
    <row r="38" spans="4:57" ht="15">
      <c r="D38" s="4"/>
      <c r="E38" s="4"/>
      <c r="F38" s="4"/>
      <c r="G38" s="59"/>
      <c r="H38" s="4" t="s">
        <v>56</v>
      </c>
      <c r="I38" s="4"/>
      <c r="J38" s="4"/>
      <c r="K38" s="4"/>
      <c r="L38" s="39"/>
      <c r="M38" s="4"/>
      <c r="N38" s="39" t="s">
        <v>52</v>
      </c>
      <c r="O38" s="163"/>
      <c r="P38" s="39" t="str">
        <f t="shared" si="37"/>
        <v/>
      </c>
      <c r="AV38" s="4"/>
      <c r="AX38" s="56">
        <f>BA28</f>
        <v>461</v>
      </c>
      <c r="BC38" s="140" t="s">
        <v>102</v>
      </c>
      <c r="BD38" s="140" t="s">
        <v>98</v>
      </c>
      <c r="BE38" s="140" t="s">
        <v>99</v>
      </c>
    </row>
    <row r="39" spans="4:57" ht="15">
      <c r="D39" s="4"/>
      <c r="E39" s="4"/>
      <c r="F39" s="4"/>
      <c r="G39" s="4"/>
      <c r="H39" s="4" t="s">
        <v>57</v>
      </c>
      <c r="I39" s="4"/>
      <c r="J39" s="4"/>
      <c r="K39" s="4"/>
      <c r="L39" s="39"/>
      <c r="M39" s="4"/>
      <c r="N39" s="4"/>
      <c r="O39" s="163"/>
      <c r="P39" s="39" t="str">
        <f t="shared" si="37"/>
        <v/>
      </c>
      <c r="AV39" s="4"/>
      <c r="AX39" s="56">
        <f>BB28</f>
        <v>231.61</v>
      </c>
      <c r="BC39" s="158">
        <f>BK28</f>
        <v>7544.31</v>
      </c>
      <c r="BD39">
        <f>BK15</f>
        <v>6.0000000000000001E-3</v>
      </c>
      <c r="BE39" s="158">
        <f>BC39*BD39</f>
        <v>45.27</v>
      </c>
    </row>
    <row r="40" spans="4:57" ht="15">
      <c r="D40" s="4"/>
      <c r="E40" s="208"/>
      <c r="F40" s="209"/>
      <c r="G40" s="59"/>
      <c r="H40" s="4" t="s">
        <v>58</v>
      </c>
      <c r="I40" s="4"/>
      <c r="J40" s="4"/>
      <c r="K40" s="4"/>
      <c r="L40" s="39"/>
      <c r="M40" s="4"/>
      <c r="N40" s="39" t="s">
        <v>52</v>
      </c>
      <c r="O40" s="163"/>
      <c r="P40" s="39" t="str">
        <f t="shared" si="37"/>
        <v/>
      </c>
      <c r="AV40" s="4"/>
      <c r="AX40" s="56">
        <f>BC28</f>
        <v>5.29</v>
      </c>
      <c r="BE40" s="140" t="s">
        <v>16</v>
      </c>
    </row>
    <row r="41" spans="4:57" ht="15">
      <c r="D41" s="4"/>
      <c r="E41" s="4"/>
      <c r="F41" s="4"/>
      <c r="G41" s="59"/>
      <c r="H41" s="4" t="s">
        <v>59</v>
      </c>
      <c r="I41" s="4"/>
      <c r="J41" s="4"/>
      <c r="K41" s="4"/>
      <c r="L41" s="39"/>
      <c r="M41" s="4"/>
      <c r="N41" s="39" t="s">
        <v>52</v>
      </c>
      <c r="O41" s="163"/>
      <c r="P41" s="39" t="str">
        <f t="shared" si="37"/>
        <v/>
      </c>
      <c r="AV41" s="4"/>
      <c r="AX41" s="56">
        <f>BD28</f>
        <v>226.31</v>
      </c>
      <c r="BC41" s="158">
        <f>BL28</f>
        <v>7544.31</v>
      </c>
      <c r="BD41">
        <f>BL15</f>
        <v>3.6784999999999998E-2</v>
      </c>
      <c r="BE41" s="158">
        <f>BC41*BD41</f>
        <v>277.52</v>
      </c>
    </row>
    <row r="42" spans="4:57" ht="15">
      <c r="D42" s="4"/>
      <c r="E42" s="4"/>
      <c r="F42" s="4"/>
      <c r="G42" s="59"/>
      <c r="H42" s="4" t="s">
        <v>60</v>
      </c>
      <c r="I42" s="4"/>
      <c r="J42" s="4"/>
      <c r="K42" s="4"/>
      <c r="L42" s="39"/>
      <c r="M42" s="4"/>
      <c r="N42" s="39" t="s">
        <v>52</v>
      </c>
      <c r="O42" s="163"/>
      <c r="P42" s="39" t="str">
        <f t="shared" si="37"/>
        <v/>
      </c>
      <c r="AV42" s="4"/>
      <c r="AX42" s="56">
        <f>BE28</f>
        <v>440</v>
      </c>
    </row>
    <row r="43" spans="4:57" ht="15">
      <c r="D43" s="4"/>
      <c r="E43" s="4"/>
      <c r="F43" s="4"/>
      <c r="G43" s="4"/>
      <c r="H43" s="4" t="s">
        <v>61</v>
      </c>
      <c r="I43" s="4"/>
      <c r="J43" s="4"/>
      <c r="K43" s="4"/>
      <c r="L43" s="39"/>
      <c r="M43" s="4"/>
      <c r="N43" s="4"/>
      <c r="O43" s="163"/>
      <c r="P43" s="39" t="str">
        <f t="shared" si="37"/>
        <v/>
      </c>
      <c r="AV43" s="4"/>
      <c r="AX43" s="56">
        <f>BF28</f>
        <v>6.8</v>
      </c>
    </row>
    <row r="44" spans="4:57" ht="15">
      <c r="D44" s="4"/>
      <c r="E44" s="4"/>
      <c r="F44" s="4"/>
      <c r="G44" s="4"/>
      <c r="H44" s="4" t="s">
        <v>62</v>
      </c>
      <c r="I44" s="4"/>
      <c r="J44" s="4"/>
      <c r="K44" s="4"/>
      <c r="L44" s="39"/>
      <c r="M44" s="4"/>
      <c r="N44" s="39" t="s">
        <v>52</v>
      </c>
      <c r="O44" s="163"/>
      <c r="P44" s="39" t="str">
        <f t="shared" si="37"/>
        <v/>
      </c>
      <c r="AV44" s="4"/>
      <c r="AX44" s="56">
        <f>BG28</f>
        <v>16.5</v>
      </c>
    </row>
    <row r="45" spans="4:57" ht="15">
      <c r="D45" s="4"/>
      <c r="E45" s="4"/>
      <c r="F45" s="4"/>
      <c r="G45" s="4"/>
      <c r="H45" s="4" t="s">
        <v>63</v>
      </c>
      <c r="I45" s="4"/>
      <c r="J45" s="4"/>
      <c r="K45" s="4"/>
      <c r="L45" s="39"/>
      <c r="M45" s="4"/>
      <c r="N45" s="4"/>
      <c r="O45" s="163"/>
      <c r="P45" s="39" t="str">
        <f t="shared" si="37"/>
        <v/>
      </c>
      <c r="AV45" s="4"/>
      <c r="AX45" s="56">
        <f>AV35-SUM(AX36:AX44)</f>
        <v>5579.65</v>
      </c>
    </row>
    <row r="46" spans="4:57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AV46" s="4"/>
      <c r="AX46" s="4"/>
    </row>
    <row r="47" spans="4:57" ht="15">
      <c r="D47" s="4"/>
      <c r="E47" s="210" t="s">
        <v>71</v>
      </c>
      <c r="F47" s="209"/>
      <c r="G47" s="4" t="s">
        <v>67</v>
      </c>
      <c r="H47" s="4"/>
      <c r="I47" s="4"/>
      <c r="J47" s="4"/>
      <c r="K47" s="4"/>
      <c r="L47" s="39"/>
      <c r="M47" s="163"/>
      <c r="N47" s="39" t="str">
        <f>IF(OR(M47="",M47=AV47),"","*")</f>
        <v/>
      </c>
      <c r="O47" s="4"/>
      <c r="P47" s="4"/>
      <c r="AV47" s="56">
        <f>SUM(AX48:AX51)</f>
        <v>899.93</v>
      </c>
      <c r="AX47" s="4"/>
    </row>
    <row r="48" spans="4:57" ht="15">
      <c r="D48" s="4"/>
      <c r="E48" s="4"/>
      <c r="F48" s="4"/>
      <c r="G48" s="59"/>
      <c r="H48" s="4" t="s">
        <v>54</v>
      </c>
      <c r="I48" s="4"/>
      <c r="J48" s="4"/>
      <c r="K48" s="4"/>
      <c r="L48" s="39"/>
      <c r="M48" s="4"/>
      <c r="N48" s="39" t="s">
        <v>52</v>
      </c>
      <c r="O48" s="163"/>
      <c r="P48" s="39" t="str">
        <f>IF(OR(O48="",O48=AX48),"","*")</f>
        <v/>
      </c>
      <c r="AV48" s="4"/>
      <c r="AX48" s="56">
        <f>BI28*0.062</f>
        <v>467.75</v>
      </c>
    </row>
    <row r="49" spans="4:50" ht="15">
      <c r="D49" s="4"/>
      <c r="E49" s="4"/>
      <c r="F49" s="4"/>
      <c r="G49" s="59"/>
      <c r="H49" s="4" t="s">
        <v>55</v>
      </c>
      <c r="I49" s="4"/>
      <c r="J49" s="4"/>
      <c r="K49" s="4"/>
      <c r="L49" s="39"/>
      <c r="M49" s="4"/>
      <c r="N49" s="39" t="s">
        <v>52</v>
      </c>
      <c r="O49" s="163"/>
      <c r="P49" s="39" t="str">
        <f>IF(OR(O49="",O49=AX49),"","*")</f>
        <v/>
      </c>
      <c r="AV49" s="4"/>
      <c r="AX49" s="56">
        <f>BJ28*0.0145</f>
        <v>109.39</v>
      </c>
    </row>
    <row r="50" spans="4:50" ht="15">
      <c r="D50" s="4"/>
      <c r="E50" s="4"/>
      <c r="F50" s="4"/>
      <c r="G50" s="59"/>
      <c r="H50" s="4" t="s">
        <v>68</v>
      </c>
      <c r="I50" s="4"/>
      <c r="J50" s="4"/>
      <c r="K50" s="4"/>
      <c r="L50" s="39"/>
      <c r="M50" s="4"/>
      <c r="N50" s="39" t="s">
        <v>52</v>
      </c>
      <c r="O50" s="163"/>
      <c r="P50" s="39" t="str">
        <f>IF(OR(O50="",O50=AX50),"","*")</f>
        <v/>
      </c>
      <c r="AV50" s="4"/>
      <c r="AX50" s="56">
        <f>BE39</f>
        <v>45.27</v>
      </c>
    </row>
    <row r="51" spans="4:50" ht="15">
      <c r="D51" s="4"/>
      <c r="E51" s="4"/>
      <c r="F51" s="4"/>
      <c r="G51" s="4"/>
      <c r="H51" s="4" t="s">
        <v>69</v>
      </c>
      <c r="I51" s="4"/>
      <c r="J51" s="4"/>
      <c r="K51" s="4"/>
      <c r="L51" s="39"/>
      <c r="M51" s="4"/>
      <c r="N51" s="4"/>
      <c r="O51" s="163"/>
      <c r="P51" s="39" t="str">
        <f>IF(OR(O51="",O51=AX51),"","*")</f>
        <v/>
      </c>
      <c r="AV51" s="4"/>
      <c r="AX51" s="56">
        <f>BE41</f>
        <v>277.52</v>
      </c>
    </row>
    <row r="52" spans="4:50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AV52" s="4"/>
      <c r="AX52" s="4"/>
    </row>
    <row r="53" spans="4:50" ht="15">
      <c r="D53" s="4"/>
      <c r="E53" s="210" t="s">
        <v>64</v>
      </c>
      <c r="F53" s="209"/>
      <c r="G53" s="4" t="s">
        <v>65</v>
      </c>
      <c r="H53" s="4"/>
      <c r="I53" s="4"/>
      <c r="J53" s="4"/>
      <c r="K53" s="4"/>
      <c r="L53" s="39"/>
      <c r="M53" s="163"/>
      <c r="N53" s="39" t="str">
        <f>IF(OR(M53="",M53=AV53),"","*")</f>
        <v/>
      </c>
      <c r="O53" s="4"/>
      <c r="P53" s="4"/>
      <c r="AV53" s="56">
        <f>AX45</f>
        <v>5579.65</v>
      </c>
      <c r="AX53" s="4"/>
    </row>
    <row r="54" spans="4:50" ht="15">
      <c r="D54" s="4"/>
      <c r="E54" s="4"/>
      <c r="F54" s="4"/>
      <c r="G54" s="59"/>
      <c r="H54" s="4" t="s">
        <v>66</v>
      </c>
      <c r="I54" s="4"/>
      <c r="J54" s="4"/>
      <c r="K54" s="4"/>
      <c r="L54" s="39"/>
      <c r="M54" s="4"/>
      <c r="N54" s="39" t="s">
        <v>52</v>
      </c>
      <c r="O54" s="163"/>
      <c r="P54" s="39" t="str">
        <f>IF(OR(O54="",O54=AX54),"","*")</f>
        <v/>
      </c>
      <c r="AV54" s="4"/>
      <c r="AX54" s="56">
        <f>AX45</f>
        <v>5579.65</v>
      </c>
    </row>
    <row r="55" spans="4:50"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</sheetData>
  <sheetProtection password="F4C4" sheet="1" objects="1" scenarios="1"/>
  <mergeCells count="33">
    <mergeCell ref="B10:AK10"/>
    <mergeCell ref="F14:F17"/>
    <mergeCell ref="B11:AS11"/>
    <mergeCell ref="E40:F40"/>
    <mergeCell ref="E47:F47"/>
    <mergeCell ref="B16:D16"/>
    <mergeCell ref="Q16:S16"/>
    <mergeCell ref="AE16:AF16"/>
    <mergeCell ref="B17:D17"/>
    <mergeCell ref="AE17:AF17"/>
    <mergeCell ref="E53:F53"/>
    <mergeCell ref="D31:P31"/>
    <mergeCell ref="H33:K33"/>
    <mergeCell ref="H34:K34"/>
    <mergeCell ref="E35:F35"/>
    <mergeCell ref="E33:F33"/>
    <mergeCell ref="E36:F36"/>
    <mergeCell ref="C1:L1"/>
    <mergeCell ref="AL14:AS14"/>
    <mergeCell ref="G15:G17"/>
    <mergeCell ref="H15:H17"/>
    <mergeCell ref="K15:K17"/>
    <mergeCell ref="L15:L17"/>
    <mergeCell ref="Q15:S15"/>
    <mergeCell ref="AG17:AH17"/>
    <mergeCell ref="G14:J14"/>
    <mergeCell ref="K14:N14"/>
    <mergeCell ref="E12:I12"/>
    <mergeCell ref="Q14:AG14"/>
    <mergeCell ref="AI14:AK14"/>
    <mergeCell ref="B8:AS8"/>
    <mergeCell ref="E14:E17"/>
    <mergeCell ref="B9:AK9"/>
  </mergeCells>
  <phoneticPr fontId="0" type="noConversion"/>
  <pageMargins left="0.57999999999999996" right="0.67" top="1" bottom="1" header="0.5" footer="0.5"/>
  <pageSetup orientation="landscape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L55"/>
  <sheetViews>
    <sheetView showGridLines="0" workbookViewId="0">
      <selection activeCell="C1" sqref="C1:L1"/>
    </sheetView>
  </sheetViews>
  <sheetFormatPr defaultRowHeight="12.5"/>
  <cols>
    <col min="1" max="1" width="1.81640625" customWidth="1"/>
    <col min="2" max="3" width="9.7265625" customWidth="1"/>
    <col min="4" max="4" width="2.7265625" customWidth="1"/>
    <col min="5" max="5" width="5.26953125" customWidth="1"/>
    <col min="6" max="7" width="5.453125" customWidth="1"/>
    <col min="9" max="9" width="10.7265625" customWidth="1"/>
    <col min="10" max="10" width="2.26953125" customWidth="1"/>
    <col min="11" max="11" width="5.453125" customWidth="1"/>
    <col min="13" max="13" width="10.7265625" customWidth="1"/>
    <col min="14" max="14" width="2.26953125" customWidth="1"/>
    <col min="15" max="15" width="10.7265625" customWidth="1"/>
    <col min="16" max="16" width="2.26953125" customWidth="1"/>
    <col min="17" max="17" width="9.26953125" customWidth="1"/>
    <col min="18" max="18" width="2.26953125" customWidth="1"/>
    <col min="20" max="20" width="2.26953125" customWidth="1"/>
    <col min="21" max="21" width="9.26953125" bestFit="1" customWidth="1"/>
    <col min="22" max="22" width="2.26953125" customWidth="1"/>
    <col min="23" max="23" width="10.6328125" bestFit="1" customWidth="1"/>
    <col min="24" max="24" width="2.26953125" customWidth="1"/>
    <col min="26" max="26" width="2.26953125" customWidth="1"/>
    <col min="28" max="28" width="2.26953125" customWidth="1"/>
    <col min="30" max="30" width="2.26953125" customWidth="1"/>
    <col min="31" max="31" width="9.26953125" customWidth="1"/>
    <col min="32" max="32" width="2.26953125" customWidth="1"/>
    <col min="34" max="34" width="2.26953125" customWidth="1"/>
    <col min="35" max="35" width="6.7265625" customWidth="1"/>
    <col min="36" max="36" width="10.7265625" customWidth="1"/>
    <col min="37" max="37" width="2.26953125" customWidth="1"/>
    <col min="38" max="38" width="9.90625" customWidth="1"/>
    <col min="39" max="39" width="2.26953125" customWidth="1"/>
    <col min="40" max="40" width="9.90625" customWidth="1"/>
    <col min="41" max="41" width="2.26953125" customWidth="1"/>
    <col min="42" max="42" width="9.90625" customWidth="1"/>
    <col min="43" max="43" width="2.26953125" customWidth="1"/>
    <col min="44" max="44" width="9.90625" customWidth="1"/>
    <col min="45" max="45" width="2.26953125" customWidth="1"/>
    <col min="46" max="46" width="10.7265625" hidden="1" customWidth="1"/>
    <col min="47" max="47" width="9.1796875" hidden="1" customWidth="1"/>
    <col min="48" max="51" width="10.7265625" hidden="1" customWidth="1"/>
    <col min="52" max="55" width="9.1796875" hidden="1" customWidth="1"/>
    <col min="56" max="56" width="10.7265625" hidden="1" customWidth="1"/>
    <col min="57" max="64" width="9.1796875" hidden="1" customWidth="1"/>
  </cols>
  <sheetData>
    <row r="1" spans="2:64" ht="12.75" customHeight="1">
      <c r="B1" s="2" t="s">
        <v>17</v>
      </c>
      <c r="C1" s="215" t="s">
        <v>72</v>
      </c>
      <c r="D1" s="215"/>
      <c r="E1" s="215"/>
      <c r="F1" s="215"/>
      <c r="G1" s="215"/>
      <c r="H1" s="215"/>
      <c r="I1" s="215"/>
      <c r="J1" s="215"/>
      <c r="K1" s="215"/>
      <c r="L1" s="215"/>
    </row>
    <row r="2" spans="2:64" ht="12.75" customHeight="1"/>
    <row r="3" spans="2:64" ht="13">
      <c r="B3" s="75" t="s">
        <v>149</v>
      </c>
    </row>
    <row r="4" spans="2:64">
      <c r="B4" s="8" t="s">
        <v>19</v>
      </c>
      <c r="C4" s="8"/>
      <c r="D4" s="8"/>
    </row>
    <row r="5" spans="2:64" ht="13">
      <c r="B5" s="75" t="s">
        <v>154</v>
      </c>
      <c r="C5" s="75"/>
      <c r="D5" s="8"/>
    </row>
    <row r="7" spans="2:64" ht="13">
      <c r="B7" s="6" t="s">
        <v>74</v>
      </c>
      <c r="C7" s="6"/>
      <c r="D7" s="7"/>
    </row>
    <row r="8" spans="2:64" ht="13">
      <c r="B8" s="214" t="s">
        <v>41</v>
      </c>
      <c r="C8" s="214"/>
      <c r="D8" s="214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1"/>
    </row>
    <row r="9" spans="2:64" ht="12.5" customHeight="1">
      <c r="B9" s="244"/>
      <c r="C9" s="244"/>
      <c r="D9" s="244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4"/>
      <c r="AM9" s="4"/>
      <c r="AN9" s="4"/>
      <c r="AO9" s="4"/>
      <c r="AP9" s="4"/>
      <c r="AQ9" s="4"/>
      <c r="AR9" s="4"/>
      <c r="AS9" s="4"/>
      <c r="AT9" s="1"/>
    </row>
    <row r="10" spans="2:64" ht="12.75" customHeight="1">
      <c r="B10" s="244"/>
      <c r="C10" s="244"/>
      <c r="D10" s="244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4"/>
      <c r="AM10" s="4"/>
      <c r="AN10" s="4"/>
      <c r="AO10" s="4"/>
      <c r="AP10" s="4"/>
      <c r="AQ10" s="4"/>
      <c r="AR10" s="4"/>
      <c r="AS10" s="4"/>
      <c r="AT10" s="1"/>
    </row>
    <row r="11" spans="2:64" ht="13" customHeight="1">
      <c r="B11" s="246" t="s">
        <v>7</v>
      </c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1"/>
    </row>
    <row r="12" spans="2:64" ht="12.5" customHeight="1">
      <c r="B12" s="40" t="s">
        <v>18</v>
      </c>
      <c r="C12" s="40"/>
      <c r="D12" s="40"/>
      <c r="E12" s="239" t="s">
        <v>42</v>
      </c>
      <c r="F12" s="240"/>
      <c r="G12" s="240"/>
      <c r="H12" s="240"/>
      <c r="I12" s="240"/>
      <c r="J12" s="12"/>
      <c r="K12" s="12"/>
      <c r="L12" s="12"/>
      <c r="M12" s="12"/>
      <c r="N12" s="22"/>
      <c r="O12" s="12"/>
      <c r="P12" s="12"/>
      <c r="Q12" s="12"/>
      <c r="R12" s="12"/>
      <c r="S12" s="12"/>
      <c r="T12" s="12"/>
      <c r="U12" s="13"/>
      <c r="V12" s="13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4"/>
      <c r="AM12" s="4"/>
      <c r="AN12" s="4"/>
      <c r="AO12" s="4"/>
      <c r="AP12" s="4"/>
      <c r="AQ12" s="4"/>
      <c r="AR12" s="4"/>
      <c r="AS12" s="4"/>
      <c r="AT12" s="1"/>
    </row>
    <row r="13" spans="2:64" ht="13" thickBo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96"/>
      <c r="AY13" t="s">
        <v>0</v>
      </c>
      <c r="AZ13" t="s">
        <v>1</v>
      </c>
      <c r="BA13" t="s">
        <v>3</v>
      </c>
      <c r="BB13" t="s">
        <v>4</v>
      </c>
      <c r="BC13" t="s">
        <v>16</v>
      </c>
      <c r="BD13" t="s">
        <v>5</v>
      </c>
      <c r="BE13" t="s">
        <v>44</v>
      </c>
      <c r="BF13" t="s">
        <v>136</v>
      </c>
      <c r="BG13" t="s">
        <v>46</v>
      </c>
      <c r="BH13" t="s">
        <v>138</v>
      </c>
      <c r="BI13" t="s">
        <v>0</v>
      </c>
      <c r="BJ13" t="s">
        <v>1</v>
      </c>
      <c r="BK13" t="s">
        <v>15</v>
      </c>
      <c r="BL13" t="s">
        <v>16</v>
      </c>
    </row>
    <row r="14" spans="2:64" ht="13" customHeight="1" thickTop="1">
      <c r="B14" s="15"/>
      <c r="C14" s="16"/>
      <c r="D14" s="54"/>
      <c r="E14" s="237" t="s">
        <v>10</v>
      </c>
      <c r="F14" s="247" t="s">
        <v>11</v>
      </c>
      <c r="G14" s="216" t="s">
        <v>37</v>
      </c>
      <c r="H14" s="218"/>
      <c r="I14" s="218"/>
      <c r="J14" s="219"/>
      <c r="K14" s="216" t="s">
        <v>43</v>
      </c>
      <c r="L14" s="218"/>
      <c r="M14" s="218"/>
      <c r="N14" s="219"/>
      <c r="O14" s="49"/>
      <c r="P14" s="43"/>
      <c r="Q14" s="241" t="s">
        <v>6</v>
      </c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7"/>
      <c r="AI14" s="216" t="s">
        <v>48</v>
      </c>
      <c r="AJ14" s="242"/>
      <c r="AK14" s="243"/>
      <c r="AL14" s="216" t="s">
        <v>51</v>
      </c>
      <c r="AM14" s="217"/>
      <c r="AN14" s="217"/>
      <c r="AO14" s="217"/>
      <c r="AP14" s="217"/>
      <c r="AQ14" s="218"/>
      <c r="AR14" s="218"/>
      <c r="AS14" s="219"/>
      <c r="AT14" s="97"/>
      <c r="AY14">
        <v>6.2E-2</v>
      </c>
      <c r="AZ14">
        <v>1.4500000000000001E-2</v>
      </c>
      <c r="BB14">
        <v>3.0700000000000002E-2</v>
      </c>
      <c r="BC14">
        <v>6.9999999999999999E-4</v>
      </c>
      <c r="BD14">
        <v>0.03</v>
      </c>
      <c r="BF14" t="s">
        <v>137</v>
      </c>
      <c r="BG14" t="s">
        <v>137</v>
      </c>
      <c r="BH14" t="s">
        <v>139</v>
      </c>
      <c r="BI14">
        <v>6.2E-2</v>
      </c>
      <c r="BJ14">
        <v>1.4500000000000001E-2</v>
      </c>
      <c r="BK14">
        <v>6.0000000000000001E-3</v>
      </c>
      <c r="BL14">
        <v>3.6784999999999998E-2</v>
      </c>
    </row>
    <row r="15" spans="2:64" ht="12.5" customHeight="1">
      <c r="B15" s="17"/>
      <c r="C15" s="10"/>
      <c r="D15" s="55"/>
      <c r="E15" s="238"/>
      <c r="F15" s="248"/>
      <c r="G15" s="220" t="s">
        <v>38</v>
      </c>
      <c r="H15" s="223" t="s">
        <v>39</v>
      </c>
      <c r="I15" s="9"/>
      <c r="J15" s="63"/>
      <c r="K15" s="220" t="s">
        <v>38</v>
      </c>
      <c r="L15" s="223" t="s">
        <v>39</v>
      </c>
      <c r="M15" s="9"/>
      <c r="N15" s="63"/>
      <c r="O15" s="41"/>
      <c r="P15" s="44"/>
      <c r="Q15" s="226"/>
      <c r="R15" s="226"/>
      <c r="S15" s="226"/>
      <c r="T15" s="32"/>
      <c r="U15" s="24"/>
      <c r="V15" s="28"/>
      <c r="W15" s="24"/>
      <c r="X15" s="28"/>
      <c r="Y15" s="33"/>
      <c r="Z15" s="33"/>
      <c r="AA15" s="24"/>
      <c r="AB15" s="28"/>
      <c r="AC15" s="24"/>
      <c r="AD15" s="28"/>
      <c r="AE15" s="33"/>
      <c r="AF15" s="33"/>
      <c r="AG15" s="24"/>
      <c r="AH15" s="28"/>
      <c r="AI15" s="87"/>
      <c r="AJ15" s="11"/>
      <c r="AK15" s="23"/>
      <c r="AL15" s="24"/>
      <c r="AM15" s="28"/>
      <c r="AN15" s="24"/>
      <c r="AO15" s="28"/>
      <c r="AP15" s="24"/>
      <c r="AQ15" s="28"/>
      <c r="AR15" s="24"/>
      <c r="AS15" s="28"/>
      <c r="AT15" s="98"/>
    </row>
    <row r="16" spans="2:64">
      <c r="B16" s="229"/>
      <c r="C16" s="230"/>
      <c r="D16" s="231"/>
      <c r="E16" s="238"/>
      <c r="F16" s="248"/>
      <c r="G16" s="221"/>
      <c r="H16" s="224"/>
      <c r="I16" s="11"/>
      <c r="J16" s="23"/>
      <c r="K16" s="221"/>
      <c r="L16" s="224"/>
      <c r="M16" s="11"/>
      <c r="N16" s="23"/>
      <c r="O16" s="42" t="s">
        <v>12</v>
      </c>
      <c r="P16" s="45"/>
      <c r="Q16" s="232" t="s">
        <v>2</v>
      </c>
      <c r="R16" s="232"/>
      <c r="S16" s="232"/>
      <c r="T16" s="33"/>
      <c r="U16" s="24"/>
      <c r="V16" s="29"/>
      <c r="W16" s="24"/>
      <c r="X16" s="29"/>
      <c r="Y16" s="33"/>
      <c r="Z16" s="33"/>
      <c r="AA16" s="24"/>
      <c r="AB16" s="29"/>
      <c r="AC16" s="24"/>
      <c r="AD16" s="29"/>
      <c r="AE16" s="233" t="s">
        <v>47</v>
      </c>
      <c r="AF16" s="234"/>
      <c r="AG16" s="86" t="s">
        <v>46</v>
      </c>
      <c r="AH16" s="29"/>
      <c r="AI16" s="88" t="s">
        <v>49</v>
      </c>
      <c r="AJ16" s="11"/>
      <c r="AK16" s="23"/>
      <c r="AL16" s="24"/>
      <c r="AM16" s="29"/>
      <c r="AN16" s="24"/>
      <c r="AO16" s="29"/>
      <c r="AP16" s="24"/>
      <c r="AQ16" s="29"/>
      <c r="AR16" s="24"/>
      <c r="AS16" s="29"/>
      <c r="AT16" s="98"/>
    </row>
    <row r="17" spans="2:64" ht="17" customHeight="1">
      <c r="B17" s="235" t="s">
        <v>26</v>
      </c>
      <c r="C17" s="232"/>
      <c r="D17" s="236"/>
      <c r="E17" s="238"/>
      <c r="F17" s="248"/>
      <c r="G17" s="222"/>
      <c r="H17" s="225"/>
      <c r="I17" s="72" t="s">
        <v>40</v>
      </c>
      <c r="J17" s="64"/>
      <c r="K17" s="222"/>
      <c r="L17" s="225"/>
      <c r="M17" s="72" t="s">
        <v>40</v>
      </c>
      <c r="N17" s="64"/>
      <c r="O17" s="93" t="s">
        <v>13</v>
      </c>
      <c r="P17" s="46"/>
      <c r="Q17" s="81" t="s">
        <v>0</v>
      </c>
      <c r="R17" s="82"/>
      <c r="S17" s="83" t="s">
        <v>1</v>
      </c>
      <c r="T17" s="34"/>
      <c r="U17" s="85" t="s">
        <v>3</v>
      </c>
      <c r="V17" s="31"/>
      <c r="W17" s="72" t="s">
        <v>4</v>
      </c>
      <c r="X17" s="29"/>
      <c r="Y17" s="72" t="s">
        <v>16</v>
      </c>
      <c r="Z17" s="30"/>
      <c r="AA17" s="85" t="s">
        <v>5</v>
      </c>
      <c r="AB17" s="29"/>
      <c r="AC17" s="85" t="s">
        <v>44</v>
      </c>
      <c r="AD17" s="29"/>
      <c r="AE17" s="227" t="s">
        <v>45</v>
      </c>
      <c r="AF17" s="228"/>
      <c r="AG17" s="227" t="s">
        <v>45</v>
      </c>
      <c r="AH17" s="228"/>
      <c r="AI17" s="89" t="s">
        <v>50</v>
      </c>
      <c r="AJ17" s="84" t="s">
        <v>40</v>
      </c>
      <c r="AK17" s="21"/>
      <c r="AL17" s="85" t="s">
        <v>0</v>
      </c>
      <c r="AM17" s="29"/>
      <c r="AN17" s="85" t="s">
        <v>1</v>
      </c>
      <c r="AO17" s="29"/>
      <c r="AP17" s="85" t="s">
        <v>15</v>
      </c>
      <c r="AQ17" s="29"/>
      <c r="AR17" s="85" t="s">
        <v>16</v>
      </c>
      <c r="AS17" s="29"/>
      <c r="AT17" s="98"/>
    </row>
    <row r="18" spans="2:64" ht="15">
      <c r="B18" s="60" t="s">
        <v>27</v>
      </c>
      <c r="C18" s="102"/>
      <c r="D18" s="20"/>
      <c r="E18" s="193" t="s">
        <v>9</v>
      </c>
      <c r="F18" s="193">
        <v>1</v>
      </c>
      <c r="G18" s="176">
        <v>40</v>
      </c>
      <c r="H18" s="177">
        <v>17.5</v>
      </c>
      <c r="I18" s="73">
        <f>G18*H18</f>
        <v>700</v>
      </c>
      <c r="J18" s="35" t="str">
        <f t="shared" ref="J18:J28" si="0">IF(OR(I18="",I18=AU18),"","*")</f>
        <v/>
      </c>
      <c r="K18" s="77"/>
      <c r="L18" s="80"/>
      <c r="M18" s="66">
        <f t="shared" ref="M18:M23" si="1">K18*L18</f>
        <v>0</v>
      </c>
      <c r="N18" s="35" t="str">
        <f t="shared" ref="N18:N28" si="2">IF(OR(M18="",M18=AV18),"","*")</f>
        <v/>
      </c>
      <c r="O18" s="52">
        <f t="shared" ref="O18:O27" si="3">I18+M18</f>
        <v>700</v>
      </c>
      <c r="P18" s="35" t="str">
        <f t="shared" ref="P18:P28" si="4">IF(OR(O18="",O18=AX18),"","*")</f>
        <v/>
      </c>
      <c r="Q18" s="26">
        <f>O18*0.062</f>
        <v>43.4</v>
      </c>
      <c r="R18" s="35" t="str">
        <f t="shared" ref="R18:R28" si="5">IF(OR(Q18="",Q18=AY18),"","*")</f>
        <v/>
      </c>
      <c r="S18" s="25">
        <f>O18*0.0145</f>
        <v>10.15</v>
      </c>
      <c r="T18" s="35" t="str">
        <f t="shared" ref="T18:T28" si="6">IF(OR(S18="",S18=AZ18),"","*")</f>
        <v/>
      </c>
      <c r="U18" s="52">
        <v>76</v>
      </c>
      <c r="V18" s="35" t="str">
        <f t="shared" ref="V18:V28" si="7">IF(OR(U18="",U18=BA18),"","*")</f>
        <v/>
      </c>
      <c r="W18" s="25">
        <f t="shared" ref="W18:W27" si="8">O18*0.0307</f>
        <v>21.49</v>
      </c>
      <c r="X18" s="35" t="str">
        <f t="shared" ref="X18:X28" si="9">IF(OR(W18="",W18=BB18),"","*")</f>
        <v/>
      </c>
      <c r="Y18" s="134">
        <f>O18*0.0007</f>
        <v>0.49</v>
      </c>
      <c r="Z18" s="35" t="str">
        <f t="shared" ref="Z18:Z28" si="10">IF(OR(Y18="",Y18=BC18),"","*")</f>
        <v/>
      </c>
      <c r="AA18" s="25">
        <f>O18*0.03</f>
        <v>21</v>
      </c>
      <c r="AB18" s="35" t="str">
        <f t="shared" ref="AB18:AB28" si="11">IF(OR(AA18="",AA18=BD18),"","*")</f>
        <v/>
      </c>
      <c r="AC18" s="25">
        <v>20</v>
      </c>
      <c r="AD18" s="35" t="str">
        <f t="shared" ref="AD18:AD28" si="12">IF(OR(AC18="",AC18=BE18),"","*")</f>
        <v/>
      </c>
      <c r="AE18" s="134"/>
      <c r="AF18" s="35" t="str">
        <f t="shared" ref="AF18:AF28" si="13">IF(OR(AE18="",AE18=BF18),"","*")</f>
        <v/>
      </c>
      <c r="AG18" s="134"/>
      <c r="AH18" s="35" t="str">
        <f t="shared" ref="AH18:AH28" si="14">IF(OR(AG18="",AG18=BG18),"","*")</f>
        <v/>
      </c>
      <c r="AI18" s="104">
        <v>313</v>
      </c>
      <c r="AJ18" s="162"/>
      <c r="AK18" s="35" t="str">
        <f t="shared" ref="AK18:AK28" si="15">IF(OR(AJ18="",AJ18=BH18),"","*")</f>
        <v/>
      </c>
      <c r="AL18" s="25">
        <f>O18</f>
        <v>700</v>
      </c>
      <c r="AM18" s="35" t="str">
        <f t="shared" ref="AM18:AM28" si="16">IF(OR(AL18="",AL18=BI18),"","*")</f>
        <v/>
      </c>
      <c r="AN18" s="25">
        <f>O18</f>
        <v>700</v>
      </c>
      <c r="AO18" s="35" t="str">
        <f t="shared" ref="AO18:AO28" si="17">IF(OR(AN18="",AN18=BJ18),"","*")</f>
        <v/>
      </c>
      <c r="AP18" s="134">
        <f>O18</f>
        <v>700</v>
      </c>
      <c r="AQ18" s="35" t="str">
        <f t="shared" ref="AQ18:AQ28" si="18">IF(OR(AP18="",AP18=BK18),"","*")</f>
        <v/>
      </c>
      <c r="AR18" s="134">
        <f>O18</f>
        <v>700</v>
      </c>
      <c r="AS18" s="35" t="str">
        <f t="shared" ref="AS18:AS28" si="19">IF(OR(AR18="",AR18=BL18),"","*")</f>
        <v/>
      </c>
      <c r="AT18" s="99"/>
      <c r="AU18" s="205">
        <v>700</v>
      </c>
      <c r="AV18" s="205"/>
      <c r="AW18" s="205"/>
      <c r="AX18" s="205">
        <f>AU18</f>
        <v>700</v>
      </c>
      <c r="AY18" s="26">
        <f>AX18*$AY$14</f>
        <v>43.4</v>
      </c>
      <c r="AZ18" s="25">
        <f>AX18*$AZ$14</f>
        <v>10.15</v>
      </c>
      <c r="BA18" s="52">
        <v>76</v>
      </c>
      <c r="BB18" s="25">
        <f>AX18*$BB$14</f>
        <v>21.49</v>
      </c>
      <c r="BC18" s="25">
        <f>AX18*$BC$14</f>
        <v>0.49</v>
      </c>
      <c r="BD18" s="25">
        <f>AX18*$BD$14</f>
        <v>21</v>
      </c>
      <c r="BE18" s="25">
        <v>20</v>
      </c>
      <c r="BF18" s="25">
        <v>0.85</v>
      </c>
      <c r="BG18" s="25">
        <v>1.65</v>
      </c>
      <c r="BH18" s="3">
        <f t="shared" ref="BH18:BH27" si="20">AX18-SUM(AY18:BG18)</f>
        <v>504.97</v>
      </c>
      <c r="BI18" s="25">
        <f>AX18</f>
        <v>700</v>
      </c>
      <c r="BJ18" s="25">
        <f>AX18</f>
        <v>700</v>
      </c>
      <c r="BK18" s="25">
        <f>AX18</f>
        <v>700</v>
      </c>
      <c r="BL18" s="25">
        <f>AX18</f>
        <v>700</v>
      </c>
    </row>
    <row r="19" spans="2:64" ht="15">
      <c r="B19" s="18" t="s">
        <v>28</v>
      </c>
      <c r="C19" s="103"/>
      <c r="D19" s="20"/>
      <c r="E19" s="193" t="s">
        <v>9</v>
      </c>
      <c r="F19" s="193">
        <v>0</v>
      </c>
      <c r="G19" s="176">
        <v>40</v>
      </c>
      <c r="H19" s="177">
        <v>17.25</v>
      </c>
      <c r="I19" s="67">
        <f>G19*H19</f>
        <v>690</v>
      </c>
      <c r="J19" s="35" t="str">
        <f t="shared" si="0"/>
        <v/>
      </c>
      <c r="K19" s="78">
        <v>8</v>
      </c>
      <c r="L19" s="94">
        <f>ROUND(H19*1.5,2)</f>
        <v>25.88</v>
      </c>
      <c r="M19" s="68">
        <f t="shared" si="1"/>
        <v>207.04</v>
      </c>
      <c r="N19" s="35" t="str">
        <f t="shared" si="2"/>
        <v/>
      </c>
      <c r="O19" s="53">
        <f t="shared" si="3"/>
        <v>897.04</v>
      </c>
      <c r="P19" s="36" t="str">
        <f t="shared" si="4"/>
        <v/>
      </c>
      <c r="Q19" s="26">
        <f t="shared" ref="Q19:Q27" si="21">O19*0.062</f>
        <v>55.62</v>
      </c>
      <c r="R19" s="36" t="str">
        <f t="shared" si="5"/>
        <v/>
      </c>
      <c r="S19" s="26">
        <f t="shared" ref="S19:S27" si="22">O19*0.0145</f>
        <v>13.01</v>
      </c>
      <c r="T19" s="36" t="str">
        <f t="shared" si="6"/>
        <v/>
      </c>
      <c r="U19" s="53">
        <v>119</v>
      </c>
      <c r="V19" s="36" t="str">
        <f t="shared" si="7"/>
        <v/>
      </c>
      <c r="W19" s="26">
        <f t="shared" si="8"/>
        <v>27.54</v>
      </c>
      <c r="X19" s="36" t="str">
        <f t="shared" si="9"/>
        <v/>
      </c>
      <c r="Y19" s="134">
        <f t="shared" ref="Y19:Y27" si="23">O19*0.0007</f>
        <v>0.63</v>
      </c>
      <c r="Z19" s="36" t="str">
        <f t="shared" si="10"/>
        <v/>
      </c>
      <c r="AA19" s="26">
        <f t="shared" ref="AA19:AA27" si="24">O19*0.03</f>
        <v>26.91</v>
      </c>
      <c r="AB19" s="36" t="str">
        <f t="shared" si="11"/>
        <v/>
      </c>
      <c r="AC19" s="26">
        <v>50</v>
      </c>
      <c r="AD19" s="36" t="str">
        <f t="shared" si="12"/>
        <v/>
      </c>
      <c r="AE19" s="133"/>
      <c r="AF19" s="36" t="str">
        <f t="shared" si="13"/>
        <v/>
      </c>
      <c r="AG19" s="133"/>
      <c r="AH19" s="36" t="str">
        <f t="shared" si="14"/>
        <v/>
      </c>
      <c r="AI19" s="90">
        <v>314</v>
      </c>
      <c r="AJ19" s="178"/>
      <c r="AK19" s="36" t="str">
        <f t="shared" si="15"/>
        <v/>
      </c>
      <c r="AL19" s="26">
        <f t="shared" ref="AL19:AL27" si="25">O19</f>
        <v>897.04</v>
      </c>
      <c r="AM19" s="36" t="str">
        <f t="shared" si="16"/>
        <v/>
      </c>
      <c r="AN19" s="26">
        <f t="shared" ref="AN19:AN27" si="26">O19</f>
        <v>897.04</v>
      </c>
      <c r="AO19" s="36" t="str">
        <f t="shared" si="17"/>
        <v/>
      </c>
      <c r="AP19" s="133">
        <f t="shared" ref="AP19:AP27" si="27">O19</f>
        <v>897.04</v>
      </c>
      <c r="AQ19" s="36" t="str">
        <f t="shared" si="18"/>
        <v/>
      </c>
      <c r="AR19" s="133">
        <f t="shared" ref="AR19:AR27" si="28">O19</f>
        <v>897.04</v>
      </c>
      <c r="AS19" s="36" t="str">
        <f t="shared" si="19"/>
        <v/>
      </c>
      <c r="AT19" s="99"/>
      <c r="AU19" s="205">
        <f>17.25*40</f>
        <v>690</v>
      </c>
      <c r="AV19" s="205">
        <f>ROUND(17.25*1.5,2)*8</f>
        <v>207.04</v>
      </c>
      <c r="AW19" s="205"/>
      <c r="AX19" s="205">
        <f t="shared" ref="AX19:AX27" si="29">AU19+AV19</f>
        <v>897.04</v>
      </c>
      <c r="AY19" s="26">
        <f t="shared" ref="AY19:AY27" si="30">AX19*$AY$14</f>
        <v>55.62</v>
      </c>
      <c r="AZ19" s="26">
        <f t="shared" ref="AZ19:AZ27" si="31">AX19*$AZ$14</f>
        <v>13.01</v>
      </c>
      <c r="BA19" s="53">
        <v>119</v>
      </c>
      <c r="BB19" s="25">
        <f t="shared" ref="BB19:BB27" si="32">AX19*$BB$14</f>
        <v>27.54</v>
      </c>
      <c r="BC19" s="25">
        <f t="shared" ref="BC19:BC27" si="33">AX19*$BC$14</f>
        <v>0.63</v>
      </c>
      <c r="BD19" s="25">
        <f t="shared" ref="BD19:BD27" si="34">AX19*$BD$14</f>
        <v>26.91</v>
      </c>
      <c r="BE19" s="26">
        <v>50</v>
      </c>
      <c r="BF19" s="26">
        <v>0.85</v>
      </c>
      <c r="BG19" s="26">
        <v>1.65</v>
      </c>
      <c r="BH19" s="3">
        <f t="shared" si="20"/>
        <v>601.83000000000004</v>
      </c>
      <c r="BI19" s="26">
        <f t="shared" ref="BI19:BI27" si="35">AX19</f>
        <v>897.04</v>
      </c>
      <c r="BJ19" s="26">
        <f t="shared" ref="BJ19:BJ27" si="36">AX19</f>
        <v>897.04</v>
      </c>
      <c r="BK19" s="26">
        <f t="shared" ref="BK19:BK27" si="37">AX19</f>
        <v>897.04</v>
      </c>
      <c r="BL19" s="26">
        <f t="shared" ref="BL19:BL27" si="38">AX19</f>
        <v>897.04</v>
      </c>
    </row>
    <row r="20" spans="2:64" ht="15">
      <c r="B20" s="18" t="s">
        <v>29</v>
      </c>
      <c r="C20" s="103"/>
      <c r="D20" s="20"/>
      <c r="E20" s="193" t="s">
        <v>8</v>
      </c>
      <c r="F20" s="193">
        <v>2</v>
      </c>
      <c r="G20" s="176">
        <v>37.5</v>
      </c>
      <c r="H20" s="177">
        <v>18.100000000000001</v>
      </c>
      <c r="I20" s="67">
        <f>G20*H20</f>
        <v>678.75</v>
      </c>
      <c r="J20" s="35" t="str">
        <f t="shared" si="0"/>
        <v/>
      </c>
      <c r="K20" s="78"/>
      <c r="L20" s="94"/>
      <c r="M20" s="67">
        <f t="shared" si="1"/>
        <v>0</v>
      </c>
      <c r="N20" s="35" t="str">
        <f t="shared" si="2"/>
        <v/>
      </c>
      <c r="O20" s="53">
        <f t="shared" si="3"/>
        <v>678.75</v>
      </c>
      <c r="P20" s="36" t="str">
        <f t="shared" si="4"/>
        <v/>
      </c>
      <c r="Q20" s="26">
        <f t="shared" si="21"/>
        <v>42.08</v>
      </c>
      <c r="R20" s="36" t="str">
        <f t="shared" si="5"/>
        <v/>
      </c>
      <c r="S20" s="26">
        <f t="shared" si="22"/>
        <v>9.84</v>
      </c>
      <c r="T20" s="36" t="str">
        <f t="shared" si="6"/>
        <v/>
      </c>
      <c r="U20" s="53">
        <v>32</v>
      </c>
      <c r="V20" s="36" t="str">
        <f t="shared" si="7"/>
        <v/>
      </c>
      <c r="W20" s="26">
        <f t="shared" si="8"/>
        <v>20.84</v>
      </c>
      <c r="X20" s="36" t="str">
        <f t="shared" si="9"/>
        <v/>
      </c>
      <c r="Y20" s="134">
        <f t="shared" si="23"/>
        <v>0.48</v>
      </c>
      <c r="Z20" s="36" t="str">
        <f t="shared" si="10"/>
        <v/>
      </c>
      <c r="AA20" s="26">
        <f t="shared" si="24"/>
        <v>20.36</v>
      </c>
      <c r="AB20" s="36" t="str">
        <f t="shared" si="11"/>
        <v/>
      </c>
      <c r="AC20" s="26">
        <v>40</v>
      </c>
      <c r="AD20" s="36" t="str">
        <f t="shared" si="12"/>
        <v/>
      </c>
      <c r="AE20" s="133"/>
      <c r="AF20" s="36" t="str">
        <f t="shared" si="13"/>
        <v/>
      </c>
      <c r="AG20" s="133"/>
      <c r="AH20" s="36" t="str">
        <f t="shared" si="14"/>
        <v/>
      </c>
      <c r="AI20" s="90">
        <v>315</v>
      </c>
      <c r="AJ20" s="178"/>
      <c r="AK20" s="36" t="str">
        <f t="shared" si="15"/>
        <v/>
      </c>
      <c r="AL20" s="26">
        <f t="shared" si="25"/>
        <v>678.75</v>
      </c>
      <c r="AM20" s="36" t="str">
        <f t="shared" si="16"/>
        <v/>
      </c>
      <c r="AN20" s="26">
        <f t="shared" si="26"/>
        <v>678.75</v>
      </c>
      <c r="AO20" s="36" t="str">
        <f t="shared" si="17"/>
        <v/>
      </c>
      <c r="AP20" s="133">
        <f t="shared" si="27"/>
        <v>678.75</v>
      </c>
      <c r="AQ20" s="36" t="str">
        <f t="shared" si="18"/>
        <v/>
      </c>
      <c r="AR20" s="133">
        <f t="shared" si="28"/>
        <v>678.75</v>
      </c>
      <c r="AS20" s="36" t="str">
        <f t="shared" si="19"/>
        <v/>
      </c>
      <c r="AT20" s="99"/>
      <c r="AU20" s="205">
        <f>18.1*37.5</f>
        <v>678.75</v>
      </c>
      <c r="AV20" s="205"/>
      <c r="AW20" s="205"/>
      <c r="AX20" s="205">
        <f t="shared" si="29"/>
        <v>678.75</v>
      </c>
      <c r="AY20" s="26">
        <f t="shared" si="30"/>
        <v>42.08</v>
      </c>
      <c r="AZ20" s="26">
        <f t="shared" si="31"/>
        <v>9.84</v>
      </c>
      <c r="BA20" s="53">
        <v>32</v>
      </c>
      <c r="BB20" s="25">
        <f t="shared" si="32"/>
        <v>20.84</v>
      </c>
      <c r="BC20" s="25">
        <f t="shared" si="33"/>
        <v>0.48</v>
      </c>
      <c r="BD20" s="25">
        <f t="shared" si="34"/>
        <v>20.36</v>
      </c>
      <c r="BE20" s="26">
        <v>40</v>
      </c>
      <c r="BF20" s="26">
        <v>0.85</v>
      </c>
      <c r="BG20" s="26">
        <v>1.65</v>
      </c>
      <c r="BH20" s="3">
        <f t="shared" si="20"/>
        <v>510.65</v>
      </c>
      <c r="BI20" s="26">
        <f t="shared" si="35"/>
        <v>678.75</v>
      </c>
      <c r="BJ20" s="26">
        <f t="shared" si="36"/>
        <v>678.75</v>
      </c>
      <c r="BK20" s="26">
        <f t="shared" si="37"/>
        <v>678.75</v>
      </c>
      <c r="BL20" s="26">
        <f t="shared" si="38"/>
        <v>678.75</v>
      </c>
    </row>
    <row r="21" spans="2:64" ht="15">
      <c r="B21" s="18" t="s">
        <v>30</v>
      </c>
      <c r="C21" s="103"/>
      <c r="D21" s="20"/>
      <c r="E21" s="193" t="s">
        <v>8</v>
      </c>
      <c r="F21" s="193">
        <v>4</v>
      </c>
      <c r="G21" s="176">
        <v>40</v>
      </c>
      <c r="H21" s="177">
        <v>17.899999999999999</v>
      </c>
      <c r="I21" s="74">
        <f>G21*H21</f>
        <v>716</v>
      </c>
      <c r="J21" s="35" t="str">
        <f t="shared" si="0"/>
        <v/>
      </c>
      <c r="K21" s="78">
        <v>6</v>
      </c>
      <c r="L21" s="94">
        <f>ROUND(H21*1.5,2)</f>
        <v>26.85</v>
      </c>
      <c r="M21" s="74">
        <f t="shared" si="1"/>
        <v>161.1</v>
      </c>
      <c r="N21" s="35" t="str">
        <f t="shared" si="2"/>
        <v/>
      </c>
      <c r="O21" s="53">
        <f t="shared" si="3"/>
        <v>877.1</v>
      </c>
      <c r="P21" s="36" t="str">
        <f t="shared" si="4"/>
        <v/>
      </c>
      <c r="Q21" s="26">
        <f t="shared" si="21"/>
        <v>54.38</v>
      </c>
      <c r="R21" s="36" t="str">
        <f t="shared" si="5"/>
        <v/>
      </c>
      <c r="S21" s="26">
        <f t="shared" si="22"/>
        <v>12.72</v>
      </c>
      <c r="T21" s="36" t="str">
        <f t="shared" si="6"/>
        <v/>
      </c>
      <c r="U21" s="53">
        <v>35</v>
      </c>
      <c r="V21" s="36" t="str">
        <f t="shared" si="7"/>
        <v/>
      </c>
      <c r="W21" s="26">
        <f t="shared" si="8"/>
        <v>26.93</v>
      </c>
      <c r="X21" s="36" t="str">
        <f t="shared" si="9"/>
        <v/>
      </c>
      <c r="Y21" s="134">
        <f t="shared" si="23"/>
        <v>0.61</v>
      </c>
      <c r="Z21" s="36" t="str">
        <f t="shared" si="10"/>
        <v/>
      </c>
      <c r="AA21" s="26">
        <f t="shared" si="24"/>
        <v>26.31</v>
      </c>
      <c r="AB21" s="36" t="str">
        <f t="shared" si="11"/>
        <v/>
      </c>
      <c r="AC21" s="26">
        <v>50</v>
      </c>
      <c r="AD21" s="36" t="str">
        <f t="shared" si="12"/>
        <v/>
      </c>
      <c r="AE21" s="133"/>
      <c r="AF21" s="36" t="str">
        <f t="shared" si="13"/>
        <v/>
      </c>
      <c r="AG21" s="133"/>
      <c r="AH21" s="36" t="str">
        <f t="shared" si="14"/>
        <v/>
      </c>
      <c r="AI21" s="90">
        <v>316</v>
      </c>
      <c r="AJ21" s="178"/>
      <c r="AK21" s="36" t="str">
        <f t="shared" si="15"/>
        <v/>
      </c>
      <c r="AL21" s="26">
        <f t="shared" si="25"/>
        <v>877.1</v>
      </c>
      <c r="AM21" s="36" t="str">
        <f t="shared" si="16"/>
        <v/>
      </c>
      <c r="AN21" s="26">
        <f t="shared" si="26"/>
        <v>877.1</v>
      </c>
      <c r="AO21" s="36" t="str">
        <f t="shared" si="17"/>
        <v/>
      </c>
      <c r="AP21" s="133">
        <f t="shared" si="27"/>
        <v>877.1</v>
      </c>
      <c r="AQ21" s="36" t="str">
        <f t="shared" si="18"/>
        <v/>
      </c>
      <c r="AR21" s="133">
        <f t="shared" si="28"/>
        <v>877.1</v>
      </c>
      <c r="AS21" s="36" t="str">
        <f t="shared" si="19"/>
        <v/>
      </c>
      <c r="AT21" s="99"/>
      <c r="AU21" s="205">
        <f>40*17.9</f>
        <v>716</v>
      </c>
      <c r="AV21" s="205">
        <f>ROUND(17.9*1.5,2)*6</f>
        <v>161.1</v>
      </c>
      <c r="AW21" s="205"/>
      <c r="AX21" s="205">
        <f t="shared" si="29"/>
        <v>877.1</v>
      </c>
      <c r="AY21" s="26">
        <f t="shared" si="30"/>
        <v>54.38</v>
      </c>
      <c r="AZ21" s="26">
        <f t="shared" si="31"/>
        <v>12.72</v>
      </c>
      <c r="BA21" s="53">
        <v>35</v>
      </c>
      <c r="BB21" s="25">
        <f t="shared" si="32"/>
        <v>26.93</v>
      </c>
      <c r="BC21" s="25">
        <f t="shared" si="33"/>
        <v>0.61</v>
      </c>
      <c r="BD21" s="25">
        <f t="shared" si="34"/>
        <v>26.31</v>
      </c>
      <c r="BE21" s="26">
        <v>50</v>
      </c>
      <c r="BF21" s="26">
        <v>0.85</v>
      </c>
      <c r="BG21" s="26">
        <v>1.65</v>
      </c>
      <c r="BH21" s="3">
        <f t="shared" si="20"/>
        <v>668.65</v>
      </c>
      <c r="BI21" s="26">
        <f t="shared" si="35"/>
        <v>877.1</v>
      </c>
      <c r="BJ21" s="26">
        <f t="shared" si="36"/>
        <v>877.1</v>
      </c>
      <c r="BK21" s="26">
        <f t="shared" si="37"/>
        <v>877.1</v>
      </c>
      <c r="BL21" s="26">
        <f t="shared" si="38"/>
        <v>877.1</v>
      </c>
    </row>
    <row r="22" spans="2:64" ht="15">
      <c r="B22" s="18" t="s">
        <v>31</v>
      </c>
      <c r="C22" s="103"/>
      <c r="D22" s="20"/>
      <c r="E22" s="193" t="s">
        <v>9</v>
      </c>
      <c r="F22" s="193">
        <v>2</v>
      </c>
      <c r="G22" s="176">
        <v>40</v>
      </c>
      <c r="H22" s="177">
        <v>19.75</v>
      </c>
      <c r="I22" s="74">
        <f>G22*H22</f>
        <v>790</v>
      </c>
      <c r="J22" s="35" t="str">
        <f t="shared" si="0"/>
        <v/>
      </c>
      <c r="K22" s="78"/>
      <c r="L22" s="94"/>
      <c r="M22" s="74">
        <f t="shared" si="1"/>
        <v>0</v>
      </c>
      <c r="N22" s="35" t="str">
        <f t="shared" si="2"/>
        <v/>
      </c>
      <c r="O22" s="53">
        <f t="shared" si="3"/>
        <v>790</v>
      </c>
      <c r="P22" s="36" t="str">
        <f t="shared" si="4"/>
        <v/>
      </c>
      <c r="Q22" s="26">
        <f t="shared" si="21"/>
        <v>48.98</v>
      </c>
      <c r="R22" s="36" t="str">
        <f t="shared" si="5"/>
        <v/>
      </c>
      <c r="S22" s="26">
        <f t="shared" si="22"/>
        <v>11.46</v>
      </c>
      <c r="T22" s="36" t="str">
        <f t="shared" si="6"/>
        <v/>
      </c>
      <c r="U22" s="53">
        <v>78</v>
      </c>
      <c r="V22" s="36" t="str">
        <f t="shared" si="7"/>
        <v/>
      </c>
      <c r="W22" s="26">
        <f t="shared" si="8"/>
        <v>24.25</v>
      </c>
      <c r="X22" s="36" t="str">
        <f t="shared" si="9"/>
        <v/>
      </c>
      <c r="Y22" s="134">
        <f t="shared" si="23"/>
        <v>0.55000000000000004</v>
      </c>
      <c r="Z22" s="36" t="str">
        <f t="shared" si="10"/>
        <v/>
      </c>
      <c r="AA22" s="26">
        <f t="shared" si="24"/>
        <v>23.7</v>
      </c>
      <c r="AB22" s="36" t="str">
        <f t="shared" si="11"/>
        <v/>
      </c>
      <c r="AC22" s="26">
        <v>20</v>
      </c>
      <c r="AD22" s="36" t="str">
        <f t="shared" si="12"/>
        <v/>
      </c>
      <c r="AE22" s="133"/>
      <c r="AF22" s="36" t="str">
        <f t="shared" si="13"/>
        <v/>
      </c>
      <c r="AG22" s="133"/>
      <c r="AH22" s="36" t="str">
        <f t="shared" si="14"/>
        <v/>
      </c>
      <c r="AI22" s="90">
        <v>317</v>
      </c>
      <c r="AJ22" s="178"/>
      <c r="AK22" s="36" t="str">
        <f t="shared" si="15"/>
        <v/>
      </c>
      <c r="AL22" s="26">
        <f t="shared" si="25"/>
        <v>790</v>
      </c>
      <c r="AM22" s="36" t="str">
        <f t="shared" si="16"/>
        <v/>
      </c>
      <c r="AN22" s="26">
        <f t="shared" si="26"/>
        <v>790</v>
      </c>
      <c r="AO22" s="36" t="str">
        <f t="shared" si="17"/>
        <v/>
      </c>
      <c r="AP22" s="133">
        <f t="shared" si="27"/>
        <v>790</v>
      </c>
      <c r="AQ22" s="36" t="str">
        <f t="shared" si="18"/>
        <v/>
      </c>
      <c r="AR22" s="133">
        <f t="shared" si="28"/>
        <v>790</v>
      </c>
      <c r="AS22" s="36" t="str">
        <f t="shared" si="19"/>
        <v/>
      </c>
      <c r="AT22" s="99"/>
      <c r="AU22" s="205">
        <f>19.75*40</f>
        <v>790</v>
      </c>
      <c r="AV22" s="205"/>
      <c r="AW22" s="205"/>
      <c r="AX22" s="205">
        <f t="shared" si="29"/>
        <v>790</v>
      </c>
      <c r="AY22" s="26">
        <f t="shared" si="30"/>
        <v>48.98</v>
      </c>
      <c r="AZ22" s="26">
        <f t="shared" si="31"/>
        <v>11.46</v>
      </c>
      <c r="BA22" s="53">
        <v>78</v>
      </c>
      <c r="BB22" s="25">
        <f t="shared" si="32"/>
        <v>24.25</v>
      </c>
      <c r="BC22" s="25">
        <f t="shared" si="33"/>
        <v>0.55000000000000004</v>
      </c>
      <c r="BD22" s="25">
        <f t="shared" si="34"/>
        <v>23.7</v>
      </c>
      <c r="BE22" s="26">
        <v>20</v>
      </c>
      <c r="BF22" s="26">
        <v>0</v>
      </c>
      <c r="BG22" s="26">
        <v>1.65</v>
      </c>
      <c r="BH22" s="3">
        <f t="shared" si="20"/>
        <v>581.41</v>
      </c>
      <c r="BI22" s="26">
        <f t="shared" si="35"/>
        <v>790</v>
      </c>
      <c r="BJ22" s="26">
        <f t="shared" si="36"/>
        <v>790</v>
      </c>
      <c r="BK22" s="26">
        <f t="shared" si="37"/>
        <v>790</v>
      </c>
      <c r="BL22" s="26">
        <f t="shared" si="38"/>
        <v>790</v>
      </c>
    </row>
    <row r="23" spans="2:64" ht="15">
      <c r="B23" s="18" t="s">
        <v>32</v>
      </c>
      <c r="C23" s="103"/>
      <c r="D23" s="20"/>
      <c r="E23" s="193" t="s">
        <v>8</v>
      </c>
      <c r="F23" s="193">
        <v>3</v>
      </c>
      <c r="G23" s="176">
        <v>40</v>
      </c>
      <c r="H23" s="175"/>
      <c r="I23" s="67">
        <v>515</v>
      </c>
      <c r="J23" s="35" t="str">
        <f t="shared" si="0"/>
        <v/>
      </c>
      <c r="K23" s="78">
        <v>1.25</v>
      </c>
      <c r="L23" s="95">
        <f>ROUND(I23/40,2)*1.5</f>
        <v>19.32</v>
      </c>
      <c r="M23" s="76">
        <f t="shared" si="1"/>
        <v>24.15</v>
      </c>
      <c r="N23" s="35" t="str">
        <f t="shared" si="2"/>
        <v/>
      </c>
      <c r="O23" s="53">
        <f t="shared" si="3"/>
        <v>539.15</v>
      </c>
      <c r="P23" s="36" t="str">
        <f t="shared" si="4"/>
        <v/>
      </c>
      <c r="Q23" s="26">
        <f t="shared" si="21"/>
        <v>33.43</v>
      </c>
      <c r="R23" s="36" t="str">
        <f t="shared" si="5"/>
        <v/>
      </c>
      <c r="S23" s="26">
        <f t="shared" si="22"/>
        <v>7.82</v>
      </c>
      <c r="T23" s="36" t="str">
        <f t="shared" si="6"/>
        <v/>
      </c>
      <c r="U23" s="53">
        <v>10</v>
      </c>
      <c r="V23" s="36" t="str">
        <f t="shared" si="7"/>
        <v/>
      </c>
      <c r="W23" s="26">
        <f t="shared" si="8"/>
        <v>16.55</v>
      </c>
      <c r="X23" s="36" t="str">
        <f t="shared" si="9"/>
        <v/>
      </c>
      <c r="Y23" s="134">
        <f t="shared" si="23"/>
        <v>0.38</v>
      </c>
      <c r="Z23" s="36" t="str">
        <f t="shared" si="10"/>
        <v/>
      </c>
      <c r="AA23" s="26">
        <f t="shared" si="24"/>
        <v>16.170000000000002</v>
      </c>
      <c r="AB23" s="36" t="str">
        <f t="shared" si="11"/>
        <v/>
      </c>
      <c r="AC23" s="26">
        <v>40</v>
      </c>
      <c r="AD23" s="36" t="str">
        <f t="shared" si="12"/>
        <v/>
      </c>
      <c r="AE23" s="133"/>
      <c r="AF23" s="36" t="str">
        <f t="shared" si="13"/>
        <v/>
      </c>
      <c r="AG23" s="133"/>
      <c r="AH23" s="36" t="str">
        <f t="shared" si="14"/>
        <v/>
      </c>
      <c r="AI23" s="90">
        <v>318</v>
      </c>
      <c r="AJ23" s="178"/>
      <c r="AK23" s="36" t="str">
        <f t="shared" si="15"/>
        <v/>
      </c>
      <c r="AL23" s="26">
        <f t="shared" si="25"/>
        <v>539.15</v>
      </c>
      <c r="AM23" s="36" t="str">
        <f t="shared" si="16"/>
        <v/>
      </c>
      <c r="AN23" s="26">
        <f t="shared" si="26"/>
        <v>539.15</v>
      </c>
      <c r="AO23" s="36" t="str">
        <f t="shared" si="17"/>
        <v/>
      </c>
      <c r="AP23" s="133">
        <f t="shared" si="27"/>
        <v>539.15</v>
      </c>
      <c r="AQ23" s="36" t="str">
        <f t="shared" si="18"/>
        <v/>
      </c>
      <c r="AR23" s="133">
        <f t="shared" si="28"/>
        <v>539.15</v>
      </c>
      <c r="AS23" s="36" t="str">
        <f t="shared" si="19"/>
        <v/>
      </c>
      <c r="AT23" s="99"/>
      <c r="AU23" s="205">
        <v>515</v>
      </c>
      <c r="AV23" s="205">
        <f>ROUND(515/40,2)*1.5*1.25</f>
        <v>24.15</v>
      </c>
      <c r="AW23" s="205"/>
      <c r="AX23" s="205">
        <f t="shared" si="29"/>
        <v>539.15</v>
      </c>
      <c r="AY23" s="26">
        <f t="shared" si="30"/>
        <v>33.43</v>
      </c>
      <c r="AZ23" s="26">
        <f t="shared" si="31"/>
        <v>7.82</v>
      </c>
      <c r="BA23" s="53">
        <v>10</v>
      </c>
      <c r="BB23" s="25">
        <f t="shared" si="32"/>
        <v>16.55</v>
      </c>
      <c r="BC23" s="25">
        <f t="shared" si="33"/>
        <v>0.38</v>
      </c>
      <c r="BD23" s="25">
        <f t="shared" si="34"/>
        <v>16.170000000000002</v>
      </c>
      <c r="BE23" s="26">
        <v>40</v>
      </c>
      <c r="BF23" s="26">
        <v>0.85</v>
      </c>
      <c r="BG23" s="26">
        <v>1.65</v>
      </c>
      <c r="BH23" s="3">
        <f t="shared" si="20"/>
        <v>412.3</v>
      </c>
      <c r="BI23" s="26">
        <f t="shared" si="35"/>
        <v>539.15</v>
      </c>
      <c r="BJ23" s="26">
        <f t="shared" si="36"/>
        <v>539.15</v>
      </c>
      <c r="BK23" s="26">
        <f t="shared" si="37"/>
        <v>539.15</v>
      </c>
      <c r="BL23" s="26">
        <f t="shared" si="38"/>
        <v>539.15</v>
      </c>
    </row>
    <row r="24" spans="2:64" ht="15">
      <c r="B24" s="18" t="s">
        <v>33</v>
      </c>
      <c r="C24" s="103"/>
      <c r="D24" s="20"/>
      <c r="E24" s="193" t="s">
        <v>8</v>
      </c>
      <c r="F24" s="193">
        <v>6</v>
      </c>
      <c r="G24" s="176">
        <v>40</v>
      </c>
      <c r="H24" s="175"/>
      <c r="I24" s="67">
        <f>ROUND(2700*12/52,2)</f>
        <v>623.08000000000004</v>
      </c>
      <c r="J24" s="35" t="str">
        <f t="shared" si="0"/>
        <v/>
      </c>
      <c r="K24" s="78"/>
      <c r="L24" s="94"/>
      <c r="M24" s="67"/>
      <c r="N24" s="35" t="str">
        <f t="shared" si="2"/>
        <v/>
      </c>
      <c r="O24" s="53">
        <f t="shared" si="3"/>
        <v>623.08000000000004</v>
      </c>
      <c r="P24" s="36" t="str">
        <f t="shared" si="4"/>
        <v/>
      </c>
      <c r="Q24" s="26">
        <f t="shared" si="21"/>
        <v>38.630000000000003</v>
      </c>
      <c r="R24" s="36" t="str">
        <f t="shared" si="5"/>
        <v/>
      </c>
      <c r="S24" s="26">
        <f t="shared" si="22"/>
        <v>9.0299999999999994</v>
      </c>
      <c r="T24" s="36" t="str">
        <f t="shared" si="6"/>
        <v/>
      </c>
      <c r="U24" s="53">
        <v>0</v>
      </c>
      <c r="V24" s="36" t="str">
        <f t="shared" si="7"/>
        <v/>
      </c>
      <c r="W24" s="26">
        <f t="shared" si="8"/>
        <v>19.13</v>
      </c>
      <c r="X24" s="36" t="str">
        <f t="shared" si="9"/>
        <v/>
      </c>
      <c r="Y24" s="134">
        <f t="shared" si="23"/>
        <v>0.44</v>
      </c>
      <c r="Z24" s="36" t="str">
        <f t="shared" si="10"/>
        <v/>
      </c>
      <c r="AA24" s="26">
        <f t="shared" si="24"/>
        <v>18.690000000000001</v>
      </c>
      <c r="AB24" s="36" t="str">
        <f t="shared" si="11"/>
        <v/>
      </c>
      <c r="AC24" s="26">
        <v>50</v>
      </c>
      <c r="AD24" s="36" t="str">
        <f t="shared" si="12"/>
        <v/>
      </c>
      <c r="AE24" s="133"/>
      <c r="AF24" s="36" t="str">
        <f t="shared" si="13"/>
        <v/>
      </c>
      <c r="AG24" s="133"/>
      <c r="AH24" s="36" t="str">
        <f t="shared" si="14"/>
        <v/>
      </c>
      <c r="AI24" s="90">
        <v>319</v>
      </c>
      <c r="AJ24" s="178"/>
      <c r="AK24" s="36" t="str">
        <f t="shared" si="15"/>
        <v/>
      </c>
      <c r="AL24" s="26">
        <f t="shared" si="25"/>
        <v>623.08000000000004</v>
      </c>
      <c r="AM24" s="36" t="str">
        <f t="shared" si="16"/>
        <v/>
      </c>
      <c r="AN24" s="26">
        <f t="shared" si="26"/>
        <v>623.08000000000004</v>
      </c>
      <c r="AO24" s="36" t="str">
        <f t="shared" si="17"/>
        <v/>
      </c>
      <c r="AP24" s="133">
        <f t="shared" si="27"/>
        <v>623.08000000000004</v>
      </c>
      <c r="AQ24" s="36" t="str">
        <f t="shared" si="18"/>
        <v/>
      </c>
      <c r="AR24" s="133">
        <f t="shared" si="28"/>
        <v>623.08000000000004</v>
      </c>
      <c r="AS24" s="36" t="str">
        <f t="shared" si="19"/>
        <v/>
      </c>
      <c r="AT24" s="99"/>
      <c r="AU24" s="205">
        <f>ROUND(2700*12/52,2)</f>
        <v>623.08000000000004</v>
      </c>
      <c r="AV24" s="205"/>
      <c r="AW24" s="205"/>
      <c r="AX24" s="205">
        <f t="shared" si="29"/>
        <v>623.08000000000004</v>
      </c>
      <c r="AY24" s="26">
        <f t="shared" si="30"/>
        <v>38.630000000000003</v>
      </c>
      <c r="AZ24" s="26">
        <f t="shared" si="31"/>
        <v>9.0299999999999994</v>
      </c>
      <c r="BA24" s="53">
        <v>0</v>
      </c>
      <c r="BB24" s="25">
        <f t="shared" si="32"/>
        <v>19.13</v>
      </c>
      <c r="BC24" s="25">
        <f t="shared" si="33"/>
        <v>0.44</v>
      </c>
      <c r="BD24" s="25">
        <f t="shared" si="34"/>
        <v>18.690000000000001</v>
      </c>
      <c r="BE24" s="26">
        <v>50</v>
      </c>
      <c r="BF24" s="26">
        <v>0.85</v>
      </c>
      <c r="BG24" s="26">
        <v>1.65</v>
      </c>
      <c r="BH24" s="3">
        <f t="shared" si="20"/>
        <v>484.66</v>
      </c>
      <c r="BI24" s="26">
        <f t="shared" si="35"/>
        <v>623.08000000000004</v>
      </c>
      <c r="BJ24" s="26">
        <f t="shared" si="36"/>
        <v>623.08000000000004</v>
      </c>
      <c r="BK24" s="26">
        <f t="shared" si="37"/>
        <v>623.08000000000004</v>
      </c>
      <c r="BL24" s="26">
        <f t="shared" si="38"/>
        <v>623.08000000000004</v>
      </c>
    </row>
    <row r="25" spans="2:64" ht="15">
      <c r="B25" s="18" t="s">
        <v>34</v>
      </c>
      <c r="C25" s="103"/>
      <c r="D25" s="20"/>
      <c r="E25" s="193" t="s">
        <v>9</v>
      </c>
      <c r="F25" s="193">
        <v>1</v>
      </c>
      <c r="G25" s="176">
        <v>40</v>
      </c>
      <c r="H25" s="175"/>
      <c r="I25" s="67">
        <f>ROUND(3350*12/52,2)</f>
        <v>773.08</v>
      </c>
      <c r="J25" s="35" t="str">
        <f t="shared" si="0"/>
        <v/>
      </c>
      <c r="K25" s="78"/>
      <c r="L25" s="94"/>
      <c r="M25" s="67"/>
      <c r="N25" s="35" t="str">
        <f t="shared" si="2"/>
        <v/>
      </c>
      <c r="O25" s="53">
        <f t="shared" si="3"/>
        <v>773.08</v>
      </c>
      <c r="P25" s="36" t="str">
        <f t="shared" si="4"/>
        <v/>
      </c>
      <c r="Q25" s="26">
        <f t="shared" si="21"/>
        <v>47.93</v>
      </c>
      <c r="R25" s="36" t="str">
        <f t="shared" si="5"/>
        <v/>
      </c>
      <c r="S25" s="26">
        <f t="shared" si="22"/>
        <v>11.21</v>
      </c>
      <c r="T25" s="36" t="str">
        <f t="shared" si="6"/>
        <v/>
      </c>
      <c r="U25" s="53">
        <v>80</v>
      </c>
      <c r="V25" s="36" t="str">
        <f t="shared" si="7"/>
        <v/>
      </c>
      <c r="W25" s="26">
        <f t="shared" si="8"/>
        <v>23.73</v>
      </c>
      <c r="X25" s="36" t="str">
        <f t="shared" si="9"/>
        <v/>
      </c>
      <c r="Y25" s="134">
        <f t="shared" si="23"/>
        <v>0.54</v>
      </c>
      <c r="Z25" s="36" t="str">
        <f t="shared" si="10"/>
        <v/>
      </c>
      <c r="AA25" s="26">
        <f t="shared" si="24"/>
        <v>23.19</v>
      </c>
      <c r="AB25" s="36" t="str">
        <f t="shared" si="11"/>
        <v/>
      </c>
      <c r="AC25" s="26">
        <v>60</v>
      </c>
      <c r="AD25" s="36" t="str">
        <f t="shared" si="12"/>
        <v/>
      </c>
      <c r="AE25" s="133"/>
      <c r="AF25" s="36" t="str">
        <f t="shared" si="13"/>
        <v/>
      </c>
      <c r="AG25" s="133"/>
      <c r="AH25" s="36" t="str">
        <f t="shared" si="14"/>
        <v/>
      </c>
      <c r="AI25" s="90">
        <v>320</v>
      </c>
      <c r="AJ25" s="178"/>
      <c r="AK25" s="36" t="str">
        <f t="shared" si="15"/>
        <v/>
      </c>
      <c r="AL25" s="26">
        <f t="shared" si="25"/>
        <v>773.08</v>
      </c>
      <c r="AM25" s="36" t="str">
        <f t="shared" si="16"/>
        <v/>
      </c>
      <c r="AN25" s="26">
        <f t="shared" si="26"/>
        <v>773.08</v>
      </c>
      <c r="AO25" s="36" t="str">
        <f t="shared" si="17"/>
        <v/>
      </c>
      <c r="AP25" s="133">
        <f t="shared" si="27"/>
        <v>773.08</v>
      </c>
      <c r="AQ25" s="36" t="str">
        <f t="shared" si="18"/>
        <v/>
      </c>
      <c r="AR25" s="133">
        <f t="shared" si="28"/>
        <v>773.08</v>
      </c>
      <c r="AS25" s="36" t="str">
        <f t="shared" si="19"/>
        <v/>
      </c>
      <c r="AT25" s="99"/>
      <c r="AU25" s="205">
        <f>ROUND(3350*12/52,2)</f>
        <v>773.08</v>
      </c>
      <c r="AV25" s="205"/>
      <c r="AW25" s="205"/>
      <c r="AX25" s="205">
        <f t="shared" si="29"/>
        <v>773.08</v>
      </c>
      <c r="AY25" s="26">
        <f t="shared" si="30"/>
        <v>47.93</v>
      </c>
      <c r="AZ25" s="26">
        <f t="shared" si="31"/>
        <v>11.21</v>
      </c>
      <c r="BA25" s="53">
        <v>80</v>
      </c>
      <c r="BB25" s="25">
        <f t="shared" si="32"/>
        <v>23.73</v>
      </c>
      <c r="BC25" s="25">
        <f t="shared" si="33"/>
        <v>0.54</v>
      </c>
      <c r="BD25" s="25">
        <f t="shared" si="34"/>
        <v>23.19</v>
      </c>
      <c r="BE25" s="26">
        <v>60</v>
      </c>
      <c r="BF25" s="26">
        <v>0</v>
      </c>
      <c r="BG25" s="26">
        <v>1.65</v>
      </c>
      <c r="BH25" s="3">
        <f t="shared" si="20"/>
        <v>524.83000000000004</v>
      </c>
      <c r="BI25" s="26">
        <f t="shared" si="35"/>
        <v>773.08</v>
      </c>
      <c r="BJ25" s="26">
        <f t="shared" si="36"/>
        <v>773.08</v>
      </c>
      <c r="BK25" s="26">
        <f t="shared" si="37"/>
        <v>773.08</v>
      </c>
      <c r="BL25" s="26">
        <f t="shared" si="38"/>
        <v>773.08</v>
      </c>
    </row>
    <row r="26" spans="2:64" ht="15">
      <c r="B26" s="18" t="s">
        <v>35</v>
      </c>
      <c r="C26" s="103"/>
      <c r="D26" s="20"/>
      <c r="E26" s="193" t="s">
        <v>8</v>
      </c>
      <c r="F26" s="193">
        <v>5</v>
      </c>
      <c r="G26" s="176">
        <v>40</v>
      </c>
      <c r="H26" s="175"/>
      <c r="I26" s="67">
        <f>ROUND(2510*12/52,2)</f>
        <v>579.23</v>
      </c>
      <c r="J26" s="35" t="str">
        <f t="shared" si="0"/>
        <v/>
      </c>
      <c r="K26" s="78">
        <v>4</v>
      </c>
      <c r="L26" s="94">
        <f>ROUND(I26/40,2)*1.5</f>
        <v>21.72</v>
      </c>
      <c r="M26" s="74">
        <f>K26*L26</f>
        <v>86.88</v>
      </c>
      <c r="N26" s="35" t="str">
        <f t="shared" si="2"/>
        <v/>
      </c>
      <c r="O26" s="53">
        <f t="shared" si="3"/>
        <v>666.11</v>
      </c>
      <c r="P26" s="36" t="str">
        <f t="shared" si="4"/>
        <v/>
      </c>
      <c r="Q26" s="26">
        <f t="shared" si="21"/>
        <v>41.3</v>
      </c>
      <c r="R26" s="36" t="str">
        <f t="shared" si="5"/>
        <v/>
      </c>
      <c r="S26" s="26">
        <f t="shared" si="22"/>
        <v>9.66</v>
      </c>
      <c r="T26" s="36" t="str">
        <f t="shared" si="6"/>
        <v/>
      </c>
      <c r="U26" s="53">
        <v>9</v>
      </c>
      <c r="V26" s="36" t="str">
        <f t="shared" si="7"/>
        <v/>
      </c>
      <c r="W26" s="26">
        <f t="shared" si="8"/>
        <v>20.45</v>
      </c>
      <c r="X26" s="36" t="str">
        <f t="shared" si="9"/>
        <v/>
      </c>
      <c r="Y26" s="134">
        <f t="shared" si="23"/>
        <v>0.47</v>
      </c>
      <c r="Z26" s="36" t="str">
        <f t="shared" si="10"/>
        <v/>
      </c>
      <c r="AA26" s="26">
        <f t="shared" si="24"/>
        <v>19.98</v>
      </c>
      <c r="AB26" s="36" t="str">
        <f t="shared" si="11"/>
        <v/>
      </c>
      <c r="AC26" s="26">
        <v>30</v>
      </c>
      <c r="AD26" s="36" t="str">
        <f t="shared" si="12"/>
        <v/>
      </c>
      <c r="AE26" s="133"/>
      <c r="AF26" s="36" t="str">
        <f t="shared" si="13"/>
        <v/>
      </c>
      <c r="AG26" s="133"/>
      <c r="AH26" s="36" t="str">
        <f t="shared" si="14"/>
        <v/>
      </c>
      <c r="AI26" s="90">
        <v>321</v>
      </c>
      <c r="AJ26" s="178"/>
      <c r="AK26" s="36" t="str">
        <f t="shared" si="15"/>
        <v/>
      </c>
      <c r="AL26" s="26">
        <f t="shared" si="25"/>
        <v>666.11</v>
      </c>
      <c r="AM26" s="36" t="str">
        <f t="shared" si="16"/>
        <v/>
      </c>
      <c r="AN26" s="26">
        <f t="shared" si="26"/>
        <v>666.11</v>
      </c>
      <c r="AO26" s="36" t="str">
        <f t="shared" si="17"/>
        <v/>
      </c>
      <c r="AP26" s="133">
        <f t="shared" si="27"/>
        <v>666.11</v>
      </c>
      <c r="AQ26" s="36" t="str">
        <f t="shared" si="18"/>
        <v/>
      </c>
      <c r="AR26" s="133">
        <f t="shared" si="28"/>
        <v>666.11</v>
      </c>
      <c r="AS26" s="36" t="str">
        <f t="shared" si="19"/>
        <v/>
      </c>
      <c r="AT26" s="99"/>
      <c r="AU26" s="205">
        <f>ROUND(2510*12/52,2)</f>
        <v>579.23</v>
      </c>
      <c r="AV26" s="205">
        <f>ROUND(579.23/40,2)*1.5*4</f>
        <v>86.88</v>
      </c>
      <c r="AW26" s="205"/>
      <c r="AX26" s="205">
        <f t="shared" si="29"/>
        <v>666.11</v>
      </c>
      <c r="AY26" s="26">
        <f t="shared" si="30"/>
        <v>41.3</v>
      </c>
      <c r="AZ26" s="26">
        <f t="shared" si="31"/>
        <v>9.66</v>
      </c>
      <c r="BA26" s="53">
        <v>9</v>
      </c>
      <c r="BB26" s="25">
        <f t="shared" si="32"/>
        <v>20.45</v>
      </c>
      <c r="BC26" s="25">
        <f t="shared" si="33"/>
        <v>0.47</v>
      </c>
      <c r="BD26" s="25">
        <f t="shared" si="34"/>
        <v>19.98</v>
      </c>
      <c r="BE26" s="26">
        <v>30</v>
      </c>
      <c r="BF26" s="26">
        <v>0.85</v>
      </c>
      <c r="BG26" s="26">
        <v>1.65</v>
      </c>
      <c r="BH26" s="3">
        <f t="shared" si="20"/>
        <v>532.75</v>
      </c>
      <c r="BI26" s="26">
        <f t="shared" si="35"/>
        <v>666.11</v>
      </c>
      <c r="BJ26" s="26">
        <f t="shared" si="36"/>
        <v>666.11</v>
      </c>
      <c r="BK26" s="26">
        <f t="shared" si="37"/>
        <v>666.11</v>
      </c>
      <c r="BL26" s="26">
        <f t="shared" si="38"/>
        <v>666.11</v>
      </c>
    </row>
    <row r="27" spans="2:64" ht="15">
      <c r="B27" s="18" t="s">
        <v>36</v>
      </c>
      <c r="C27" s="103"/>
      <c r="D27" s="20"/>
      <c r="E27" s="193" t="s">
        <v>8</v>
      </c>
      <c r="F27" s="193">
        <v>7</v>
      </c>
      <c r="G27" s="176">
        <v>40</v>
      </c>
      <c r="H27" s="175"/>
      <c r="I27" s="69">
        <f>ROUND(52000/52,2)</f>
        <v>1000</v>
      </c>
      <c r="J27" s="35" t="str">
        <f t="shared" si="0"/>
        <v/>
      </c>
      <c r="K27" s="79"/>
      <c r="L27" s="79"/>
      <c r="M27" s="69"/>
      <c r="N27" s="35" t="str">
        <f t="shared" si="2"/>
        <v/>
      </c>
      <c r="O27" s="53">
        <f t="shared" si="3"/>
        <v>1000</v>
      </c>
      <c r="P27" s="47" t="str">
        <f t="shared" si="4"/>
        <v/>
      </c>
      <c r="Q27" s="26">
        <f t="shared" si="21"/>
        <v>62</v>
      </c>
      <c r="R27" s="5" t="str">
        <f t="shared" si="5"/>
        <v/>
      </c>
      <c r="S27" s="26">
        <f t="shared" si="22"/>
        <v>14.5</v>
      </c>
      <c r="T27" s="36" t="str">
        <f t="shared" si="6"/>
        <v/>
      </c>
      <c r="U27" s="51">
        <v>22</v>
      </c>
      <c r="V27" s="50" t="str">
        <f t="shared" si="7"/>
        <v/>
      </c>
      <c r="W27" s="26">
        <f t="shared" si="8"/>
        <v>30.7</v>
      </c>
      <c r="X27" s="36" t="str">
        <f t="shared" si="9"/>
        <v/>
      </c>
      <c r="Y27" s="134">
        <f t="shared" si="23"/>
        <v>0.7</v>
      </c>
      <c r="Z27" s="61" t="str">
        <f t="shared" si="10"/>
        <v/>
      </c>
      <c r="AA27" s="38">
        <f t="shared" si="24"/>
        <v>30</v>
      </c>
      <c r="AB27" s="36" t="str">
        <f t="shared" si="11"/>
        <v/>
      </c>
      <c r="AC27" s="38">
        <v>80</v>
      </c>
      <c r="AD27" s="36" t="str">
        <f t="shared" si="12"/>
        <v/>
      </c>
      <c r="AE27" s="146"/>
      <c r="AF27" s="61" t="str">
        <f t="shared" si="13"/>
        <v/>
      </c>
      <c r="AG27" s="146"/>
      <c r="AH27" s="61" t="str">
        <f t="shared" si="14"/>
        <v/>
      </c>
      <c r="AI27" s="90">
        <v>322</v>
      </c>
      <c r="AJ27" s="178"/>
      <c r="AK27" s="36" t="str">
        <f t="shared" si="15"/>
        <v/>
      </c>
      <c r="AL27" s="38">
        <f t="shared" si="25"/>
        <v>1000</v>
      </c>
      <c r="AM27" s="61" t="str">
        <f t="shared" si="16"/>
        <v/>
      </c>
      <c r="AN27" s="62">
        <f t="shared" si="26"/>
        <v>1000</v>
      </c>
      <c r="AO27" s="61" t="str">
        <f t="shared" si="17"/>
        <v/>
      </c>
      <c r="AP27" s="146">
        <f t="shared" si="27"/>
        <v>1000</v>
      </c>
      <c r="AQ27" s="36" t="str">
        <f t="shared" si="18"/>
        <v/>
      </c>
      <c r="AR27" s="146">
        <f t="shared" si="28"/>
        <v>1000</v>
      </c>
      <c r="AS27" s="36" t="str">
        <f t="shared" si="19"/>
        <v/>
      </c>
      <c r="AT27" s="99"/>
      <c r="AU27" s="205">
        <f>ROUND(52000/52,2)</f>
        <v>1000</v>
      </c>
      <c r="AV27" s="205"/>
      <c r="AW27" s="205"/>
      <c r="AX27" s="205">
        <f t="shared" si="29"/>
        <v>1000</v>
      </c>
      <c r="AY27" s="26">
        <f t="shared" si="30"/>
        <v>62</v>
      </c>
      <c r="AZ27" s="26">
        <f t="shared" si="31"/>
        <v>14.5</v>
      </c>
      <c r="BA27" s="51">
        <v>22</v>
      </c>
      <c r="BB27" s="25">
        <f t="shared" si="32"/>
        <v>30.7</v>
      </c>
      <c r="BC27" s="25">
        <f t="shared" si="33"/>
        <v>0.7</v>
      </c>
      <c r="BD27" s="25">
        <f t="shared" si="34"/>
        <v>30</v>
      </c>
      <c r="BE27" s="38">
        <v>80</v>
      </c>
      <c r="BF27" s="38">
        <v>0.85</v>
      </c>
      <c r="BG27" s="38">
        <v>1.65</v>
      </c>
      <c r="BH27" s="3">
        <f t="shared" si="20"/>
        <v>757.6</v>
      </c>
      <c r="BI27" s="38">
        <f t="shared" si="35"/>
        <v>1000</v>
      </c>
      <c r="BJ27" s="62">
        <f t="shared" si="36"/>
        <v>1000</v>
      </c>
      <c r="BK27" s="62">
        <f t="shared" si="37"/>
        <v>1000</v>
      </c>
      <c r="BL27" s="62">
        <f t="shared" si="38"/>
        <v>1000</v>
      </c>
    </row>
    <row r="28" spans="2:64" ht="13" customHeight="1" thickBot="1">
      <c r="B28" s="18" t="s">
        <v>14</v>
      </c>
      <c r="C28" s="103"/>
      <c r="D28" s="20"/>
      <c r="E28" s="19"/>
      <c r="F28" s="19"/>
      <c r="G28" s="65"/>
      <c r="H28" s="19"/>
      <c r="I28" s="70">
        <f>SUM(I18:I27)</f>
        <v>7065.14</v>
      </c>
      <c r="J28" s="37" t="str">
        <f t="shared" si="0"/>
        <v/>
      </c>
      <c r="K28" s="100"/>
      <c r="L28" s="101"/>
      <c r="M28" s="70">
        <f>SUM(M18:M27)</f>
        <v>479.17</v>
      </c>
      <c r="N28" s="37" t="str">
        <f t="shared" si="2"/>
        <v/>
      </c>
      <c r="O28" s="70">
        <f>SUM(O18:O27)</f>
        <v>7544.31</v>
      </c>
      <c r="P28" s="37" t="str">
        <f t="shared" si="4"/>
        <v/>
      </c>
      <c r="Q28" s="70">
        <f>SUM(Q18:Q27)</f>
        <v>467.75</v>
      </c>
      <c r="R28" s="37" t="str">
        <f t="shared" si="5"/>
        <v/>
      </c>
      <c r="S28" s="70">
        <f>SUM(S18:S27)</f>
        <v>109.4</v>
      </c>
      <c r="T28" s="37" t="str">
        <f t="shared" si="6"/>
        <v/>
      </c>
      <c r="U28" s="70">
        <f>SUM(U18:U27)</f>
        <v>461</v>
      </c>
      <c r="V28" s="37" t="str">
        <f t="shared" si="7"/>
        <v/>
      </c>
      <c r="W28" s="70">
        <f>SUM(W18:W27)</f>
        <v>231.61</v>
      </c>
      <c r="X28" s="37" t="str">
        <f t="shared" si="9"/>
        <v/>
      </c>
      <c r="Y28" s="122">
        <f>SUM(Y18:Y27)</f>
        <v>5.29</v>
      </c>
      <c r="Z28" s="37" t="str">
        <f t="shared" si="10"/>
        <v/>
      </c>
      <c r="AA28" s="70">
        <f>SUM(AA18:AA27)</f>
        <v>226.31</v>
      </c>
      <c r="AB28" s="37" t="str">
        <f t="shared" si="11"/>
        <v/>
      </c>
      <c r="AC28" s="70">
        <f>SUM(AC18:AC27)</f>
        <v>440</v>
      </c>
      <c r="AD28" s="37" t="str">
        <f t="shared" si="12"/>
        <v/>
      </c>
      <c r="AE28" s="122"/>
      <c r="AF28" s="37" t="str">
        <f t="shared" si="13"/>
        <v/>
      </c>
      <c r="AG28" s="122"/>
      <c r="AH28" s="37" t="str">
        <f t="shared" si="14"/>
        <v/>
      </c>
      <c r="AI28" s="91"/>
      <c r="AJ28" s="122"/>
      <c r="AK28" s="37" t="str">
        <f t="shared" si="15"/>
        <v/>
      </c>
      <c r="AL28" s="70">
        <f>SUM(AL18:AL27)</f>
        <v>7544.31</v>
      </c>
      <c r="AM28" s="37" t="str">
        <f t="shared" si="16"/>
        <v/>
      </c>
      <c r="AN28" s="70">
        <f>SUM(AN18:AN27)</f>
        <v>7544.31</v>
      </c>
      <c r="AO28" s="37" t="str">
        <f t="shared" si="17"/>
        <v/>
      </c>
      <c r="AP28" s="122">
        <f>SUM(AP18:AP27)</f>
        <v>7544.31</v>
      </c>
      <c r="AQ28" s="37" t="str">
        <f t="shared" si="18"/>
        <v/>
      </c>
      <c r="AR28" s="122">
        <f>SUM(AR18:AR27)</f>
        <v>7544.31</v>
      </c>
      <c r="AS28" s="37" t="str">
        <f t="shared" si="19"/>
        <v/>
      </c>
      <c r="AT28" s="99"/>
      <c r="AU28" s="70">
        <f>SUM(AU18:AU27)</f>
        <v>7065.14</v>
      </c>
      <c r="AV28" s="70">
        <f>SUM(AV18:AV27)</f>
        <v>479.17</v>
      </c>
      <c r="AW28" s="48"/>
      <c r="AX28" s="70">
        <f t="shared" ref="AX28:BL28" si="39">SUM(AX18:AX27)</f>
        <v>7544.31</v>
      </c>
      <c r="AY28" s="70">
        <f t="shared" si="39"/>
        <v>467.75</v>
      </c>
      <c r="AZ28" s="70">
        <f t="shared" si="39"/>
        <v>109.4</v>
      </c>
      <c r="BA28" s="70">
        <f t="shared" si="39"/>
        <v>461</v>
      </c>
      <c r="BB28" s="70">
        <f t="shared" si="39"/>
        <v>231.61</v>
      </c>
      <c r="BC28" s="70">
        <f t="shared" si="39"/>
        <v>5.29</v>
      </c>
      <c r="BD28" s="70">
        <f t="shared" si="39"/>
        <v>226.31</v>
      </c>
      <c r="BE28" s="70">
        <f t="shared" si="39"/>
        <v>440</v>
      </c>
      <c r="BF28" s="70">
        <f t="shared" si="39"/>
        <v>6.8</v>
      </c>
      <c r="BG28" s="70">
        <f t="shared" si="39"/>
        <v>16.5</v>
      </c>
      <c r="BH28" s="70">
        <f t="shared" si="39"/>
        <v>5579.65</v>
      </c>
      <c r="BI28" s="70">
        <f t="shared" si="39"/>
        <v>7544.31</v>
      </c>
      <c r="BJ28" s="70">
        <f t="shared" si="39"/>
        <v>7544.31</v>
      </c>
      <c r="BK28" s="70">
        <f t="shared" si="39"/>
        <v>7544.31</v>
      </c>
      <c r="BL28" s="70">
        <f t="shared" si="39"/>
        <v>7544.31</v>
      </c>
    </row>
    <row r="29" spans="2:64" ht="13" thickTop="1"/>
    <row r="31" spans="2:64" ht="13" customHeight="1">
      <c r="D31" s="211" t="s">
        <v>25</v>
      </c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</row>
    <row r="32" spans="2:64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4:57" ht="13">
      <c r="D33" s="58"/>
      <c r="E33" s="213" t="s">
        <v>22</v>
      </c>
      <c r="F33" s="213"/>
      <c r="G33" s="58"/>
      <c r="H33" s="213" t="s">
        <v>21</v>
      </c>
      <c r="I33" s="213"/>
      <c r="J33" s="213"/>
      <c r="K33" s="213"/>
      <c r="L33" s="57"/>
      <c r="M33" s="58" t="s">
        <v>23</v>
      </c>
      <c r="N33" s="57"/>
      <c r="O33" s="58" t="s">
        <v>24</v>
      </c>
      <c r="P33" s="57"/>
      <c r="S33" s="4"/>
      <c r="T33" s="4"/>
      <c r="U33" s="105" t="s">
        <v>96</v>
      </c>
      <c r="V33" s="4"/>
      <c r="W33" s="4"/>
      <c r="X33" s="4"/>
      <c r="Y33" s="105" t="s">
        <v>93</v>
      </c>
      <c r="Z33" s="4"/>
    </row>
    <row r="34" spans="4:57" ht="13">
      <c r="D34" s="4"/>
      <c r="E34" s="4" t="s">
        <v>20</v>
      </c>
      <c r="F34" s="4"/>
      <c r="G34" s="4"/>
      <c r="H34" s="214"/>
      <c r="I34" s="214"/>
      <c r="J34" s="214"/>
      <c r="K34" s="214"/>
      <c r="L34" s="4"/>
      <c r="M34" s="4"/>
      <c r="N34" s="4"/>
      <c r="O34" s="4"/>
      <c r="P34" s="4"/>
      <c r="S34" s="4"/>
      <c r="T34" s="4"/>
      <c r="U34" s="105" t="s">
        <v>97</v>
      </c>
      <c r="V34" s="4"/>
      <c r="W34" s="105" t="s">
        <v>98</v>
      </c>
      <c r="X34" s="4"/>
      <c r="Y34" s="105" t="s">
        <v>100</v>
      </c>
      <c r="Z34" s="4"/>
    </row>
    <row r="35" spans="4:57" ht="15.5">
      <c r="D35" s="4"/>
      <c r="E35" s="208" t="s">
        <v>70</v>
      </c>
      <c r="F35" s="209"/>
      <c r="G35" s="4" t="s">
        <v>53</v>
      </c>
      <c r="H35" s="4"/>
      <c r="I35" s="4"/>
      <c r="J35" s="4"/>
      <c r="K35" s="4"/>
      <c r="L35" s="39"/>
      <c r="M35" s="163"/>
      <c r="N35" s="39" t="str">
        <f>IF(OR(M35="",M35=AV35),"","*")</f>
        <v/>
      </c>
      <c r="O35" s="4"/>
      <c r="P35" s="4"/>
      <c r="S35" s="4" t="s">
        <v>99</v>
      </c>
      <c r="T35" s="4"/>
      <c r="U35" s="191">
        <f>AP28</f>
        <v>7544.31</v>
      </c>
      <c r="V35" s="159" t="str">
        <f>IF(OR(U35="",U35=BC39),"","*")</f>
        <v/>
      </c>
      <c r="W35" s="192">
        <v>6.0000000000000001E-3</v>
      </c>
      <c r="X35" s="155" t="str">
        <f>IF(OR(W35="",W35=BD39),"","*")</f>
        <v/>
      </c>
      <c r="Y35" s="191">
        <f>U35*W35</f>
        <v>45.27</v>
      </c>
      <c r="Z35" s="155" t="str">
        <f>IF(OR(Y35="",Y35=BE39),"","*")</f>
        <v/>
      </c>
      <c r="AV35" s="56">
        <f>AX28</f>
        <v>7544.31</v>
      </c>
      <c r="AX35" s="4"/>
    </row>
    <row r="36" spans="4:57" ht="15">
      <c r="D36" s="4"/>
      <c r="E36" s="208"/>
      <c r="F36" s="209"/>
      <c r="G36" s="59"/>
      <c r="H36" s="4" t="s">
        <v>54</v>
      </c>
      <c r="I36" s="4"/>
      <c r="J36" s="4"/>
      <c r="K36" s="4"/>
      <c r="L36" s="39"/>
      <c r="M36" s="4"/>
      <c r="N36" s="39" t="s">
        <v>52</v>
      </c>
      <c r="O36" s="163"/>
      <c r="P36" s="39" t="str">
        <f t="shared" ref="P36:P45" si="40">IF(OR(O36="",O36=AX36),"","*")</f>
        <v/>
      </c>
      <c r="S36" s="4"/>
      <c r="T36" s="4"/>
      <c r="U36" s="160"/>
      <c r="V36" s="4"/>
      <c r="W36" s="160"/>
      <c r="X36" s="4"/>
      <c r="Y36" s="161" t="s">
        <v>101</v>
      </c>
      <c r="Z36" s="4"/>
      <c r="AV36" s="4"/>
      <c r="AX36" s="56">
        <f>AY28</f>
        <v>467.75</v>
      </c>
    </row>
    <row r="37" spans="4:57" ht="15.5">
      <c r="D37" s="4"/>
      <c r="E37" s="4"/>
      <c r="F37" s="4"/>
      <c r="G37" s="59"/>
      <c r="H37" s="4" t="s">
        <v>55</v>
      </c>
      <c r="I37" s="4"/>
      <c r="J37" s="4"/>
      <c r="K37" s="4"/>
      <c r="L37" s="39"/>
      <c r="M37" s="4"/>
      <c r="N37" s="39" t="s">
        <v>52</v>
      </c>
      <c r="O37" s="163"/>
      <c r="P37" s="39" t="str">
        <f t="shared" si="40"/>
        <v/>
      </c>
      <c r="S37" s="4" t="s">
        <v>16</v>
      </c>
      <c r="T37" s="4"/>
      <c r="U37" s="191">
        <f>AR28</f>
        <v>7544.31</v>
      </c>
      <c r="V37" s="155" t="str">
        <f>IF(OR(U37="",U37=BC41),"","*")</f>
        <v/>
      </c>
      <c r="W37" s="198">
        <v>3.6784999999999998E-2</v>
      </c>
      <c r="X37" s="155" t="str">
        <f>IF(OR(W37="",W37=BD41),"","*")</f>
        <v/>
      </c>
      <c r="Y37" s="191">
        <f>U37*W37</f>
        <v>277.52</v>
      </c>
      <c r="Z37" s="155" t="str">
        <f>IF(OR(Y37="",Y37=BE41),"","*")</f>
        <v/>
      </c>
      <c r="AV37" s="4"/>
      <c r="AX37" s="56">
        <f>AZ28</f>
        <v>109.4</v>
      </c>
      <c r="BC37" s="140" t="s">
        <v>96</v>
      </c>
    </row>
    <row r="38" spans="4:57" ht="15">
      <c r="D38" s="4"/>
      <c r="E38" s="4"/>
      <c r="F38" s="4"/>
      <c r="G38" s="59"/>
      <c r="H38" s="4" t="s">
        <v>56</v>
      </c>
      <c r="I38" s="4"/>
      <c r="J38" s="4"/>
      <c r="K38" s="4"/>
      <c r="L38" s="39"/>
      <c r="M38" s="4"/>
      <c r="N38" s="39" t="s">
        <v>52</v>
      </c>
      <c r="O38" s="163"/>
      <c r="P38" s="39" t="str">
        <f t="shared" si="40"/>
        <v/>
      </c>
      <c r="AV38" s="4"/>
      <c r="AX38" s="56">
        <f>BA28</f>
        <v>461</v>
      </c>
      <c r="BC38" s="140" t="s">
        <v>102</v>
      </c>
      <c r="BD38" s="140" t="s">
        <v>98</v>
      </c>
      <c r="BE38" s="140" t="s">
        <v>99</v>
      </c>
    </row>
    <row r="39" spans="4:57" ht="15">
      <c r="D39" s="4"/>
      <c r="E39" s="4"/>
      <c r="F39" s="4"/>
      <c r="G39" s="4"/>
      <c r="H39" s="4" t="s">
        <v>57</v>
      </c>
      <c r="I39" s="4"/>
      <c r="J39" s="4"/>
      <c r="K39" s="4"/>
      <c r="L39" s="39"/>
      <c r="M39" s="4"/>
      <c r="N39" s="4"/>
      <c r="O39" s="163"/>
      <c r="P39" s="39" t="str">
        <f t="shared" si="40"/>
        <v/>
      </c>
      <c r="AV39" s="4"/>
      <c r="AX39" s="56">
        <f>BB28</f>
        <v>231.61</v>
      </c>
      <c r="BC39" s="158">
        <f>BK28</f>
        <v>7544.31</v>
      </c>
      <c r="BD39">
        <f>BK14</f>
        <v>6.0000000000000001E-3</v>
      </c>
      <c r="BE39" s="158">
        <f>BC39*BD39</f>
        <v>45.27</v>
      </c>
    </row>
    <row r="40" spans="4:57" ht="15">
      <c r="D40" s="4"/>
      <c r="E40" s="208"/>
      <c r="F40" s="209"/>
      <c r="G40" s="59"/>
      <c r="H40" s="4" t="s">
        <v>58</v>
      </c>
      <c r="I40" s="4"/>
      <c r="J40" s="4"/>
      <c r="K40" s="4"/>
      <c r="L40" s="39"/>
      <c r="M40" s="4"/>
      <c r="N40" s="39" t="s">
        <v>52</v>
      </c>
      <c r="O40" s="163"/>
      <c r="P40" s="39" t="str">
        <f t="shared" si="40"/>
        <v/>
      </c>
      <c r="AV40" s="4"/>
      <c r="AX40" s="56">
        <f>BC28</f>
        <v>5.29</v>
      </c>
      <c r="BE40" s="140" t="s">
        <v>16</v>
      </c>
    </row>
    <row r="41" spans="4:57" ht="15">
      <c r="D41" s="4"/>
      <c r="E41" s="4"/>
      <c r="F41" s="4"/>
      <c r="G41" s="59"/>
      <c r="H41" s="4" t="s">
        <v>59</v>
      </c>
      <c r="I41" s="4"/>
      <c r="J41" s="4"/>
      <c r="K41" s="4"/>
      <c r="L41" s="39"/>
      <c r="M41" s="4"/>
      <c r="N41" s="39" t="s">
        <v>52</v>
      </c>
      <c r="O41" s="163"/>
      <c r="P41" s="39" t="str">
        <f t="shared" si="40"/>
        <v/>
      </c>
      <c r="AV41" s="4"/>
      <c r="AX41" s="56">
        <f>BD28</f>
        <v>226.31</v>
      </c>
      <c r="BC41" s="158">
        <f>BL28</f>
        <v>7544.31</v>
      </c>
      <c r="BD41">
        <f>BL14</f>
        <v>3.6784999999999998E-2</v>
      </c>
      <c r="BE41" s="158">
        <f>BC41*BD41</f>
        <v>277.52</v>
      </c>
    </row>
    <row r="42" spans="4:57" ht="15">
      <c r="D42" s="4"/>
      <c r="E42" s="4"/>
      <c r="F42" s="4"/>
      <c r="G42" s="59"/>
      <c r="H42" s="4" t="s">
        <v>60</v>
      </c>
      <c r="I42" s="4"/>
      <c r="J42" s="4"/>
      <c r="K42" s="4"/>
      <c r="L42" s="39"/>
      <c r="M42" s="4"/>
      <c r="N42" s="39" t="s">
        <v>52</v>
      </c>
      <c r="O42" s="163"/>
      <c r="P42" s="39" t="str">
        <f t="shared" si="40"/>
        <v/>
      </c>
      <c r="AV42" s="4"/>
      <c r="AX42" s="56">
        <f>BE28</f>
        <v>440</v>
      </c>
    </row>
    <row r="43" spans="4:57" ht="15">
      <c r="D43" s="4"/>
      <c r="E43" s="4"/>
      <c r="F43" s="4"/>
      <c r="G43" s="4"/>
      <c r="H43" s="4" t="s">
        <v>61</v>
      </c>
      <c r="I43" s="4"/>
      <c r="J43" s="4"/>
      <c r="K43" s="4"/>
      <c r="L43" s="39"/>
      <c r="M43" s="4"/>
      <c r="N43" s="4"/>
      <c r="O43" s="163"/>
      <c r="P43" s="39" t="str">
        <f t="shared" si="40"/>
        <v/>
      </c>
      <c r="AV43" s="4"/>
      <c r="AX43" s="56">
        <f>BF28</f>
        <v>6.8</v>
      </c>
    </row>
    <row r="44" spans="4:57" ht="15">
      <c r="D44" s="4"/>
      <c r="E44" s="4"/>
      <c r="F44" s="4"/>
      <c r="G44" s="4"/>
      <c r="H44" s="4" t="s">
        <v>62</v>
      </c>
      <c r="I44" s="4"/>
      <c r="J44" s="4"/>
      <c r="K44" s="4"/>
      <c r="L44" s="39"/>
      <c r="M44" s="4"/>
      <c r="N44" s="39" t="s">
        <v>52</v>
      </c>
      <c r="O44" s="163"/>
      <c r="P44" s="39" t="str">
        <f t="shared" si="40"/>
        <v/>
      </c>
      <c r="AV44" s="4"/>
      <c r="AX44" s="56">
        <f>BG28</f>
        <v>16.5</v>
      </c>
    </row>
    <row r="45" spans="4:57" ht="15">
      <c r="D45" s="4"/>
      <c r="E45" s="4"/>
      <c r="F45" s="4"/>
      <c r="G45" s="4"/>
      <c r="H45" s="4" t="s">
        <v>63</v>
      </c>
      <c r="I45" s="4"/>
      <c r="J45" s="4"/>
      <c r="K45" s="4"/>
      <c r="L45" s="39"/>
      <c r="M45" s="4"/>
      <c r="N45" s="4"/>
      <c r="O45" s="163"/>
      <c r="P45" s="39" t="str">
        <f t="shared" si="40"/>
        <v/>
      </c>
      <c r="AV45" s="4"/>
      <c r="AX45" s="56">
        <f>AV35-SUM(AX36:AX44)</f>
        <v>5579.65</v>
      </c>
    </row>
    <row r="46" spans="4:57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AV46" s="4"/>
      <c r="AX46" s="4"/>
    </row>
    <row r="47" spans="4:57" ht="15">
      <c r="D47" s="4"/>
      <c r="E47" s="210" t="s">
        <v>71</v>
      </c>
      <c r="F47" s="209"/>
      <c r="G47" s="4" t="s">
        <v>67</v>
      </c>
      <c r="H47" s="4"/>
      <c r="I47" s="4"/>
      <c r="J47" s="4"/>
      <c r="K47" s="4"/>
      <c r="L47" s="39"/>
      <c r="M47" s="163"/>
      <c r="N47" s="39" t="str">
        <f>IF(OR(M47="",M47=AV47),"","*")</f>
        <v/>
      </c>
      <c r="O47" s="4"/>
      <c r="P47" s="4"/>
      <c r="AV47" s="56">
        <f>SUM(AX48:AX51)</f>
        <v>899.93</v>
      </c>
      <c r="AX47" s="4"/>
    </row>
    <row r="48" spans="4:57" ht="15">
      <c r="D48" s="4"/>
      <c r="E48" s="4"/>
      <c r="F48" s="4"/>
      <c r="G48" s="59"/>
      <c r="H48" s="4" t="s">
        <v>54</v>
      </c>
      <c r="I48" s="4"/>
      <c r="J48" s="4"/>
      <c r="K48" s="4"/>
      <c r="L48" s="39"/>
      <c r="M48" s="4"/>
      <c r="N48" s="39" t="s">
        <v>52</v>
      </c>
      <c r="O48" s="163"/>
      <c r="P48" s="39" t="str">
        <f>IF(OR(O48="",O48=AX48),"","*")</f>
        <v/>
      </c>
      <c r="AV48" s="4"/>
      <c r="AX48" s="56">
        <f>BI28*0.062</f>
        <v>467.75</v>
      </c>
    </row>
    <row r="49" spans="4:50" ht="15">
      <c r="D49" s="4"/>
      <c r="E49" s="4"/>
      <c r="F49" s="4"/>
      <c r="G49" s="59"/>
      <c r="H49" s="4" t="s">
        <v>55</v>
      </c>
      <c r="I49" s="4"/>
      <c r="J49" s="4"/>
      <c r="K49" s="4"/>
      <c r="L49" s="39"/>
      <c r="M49" s="4"/>
      <c r="N49" s="39" t="s">
        <v>52</v>
      </c>
      <c r="O49" s="163"/>
      <c r="P49" s="39" t="str">
        <f>IF(OR(O49="",O49=AX49),"","*")</f>
        <v/>
      </c>
      <c r="AV49" s="4"/>
      <c r="AX49" s="56">
        <f>BJ28*0.0145</f>
        <v>109.39</v>
      </c>
    </row>
    <row r="50" spans="4:50" ht="15">
      <c r="D50" s="4"/>
      <c r="E50" s="4"/>
      <c r="F50" s="4"/>
      <c r="G50" s="59"/>
      <c r="H50" s="4" t="s">
        <v>68</v>
      </c>
      <c r="I50" s="4"/>
      <c r="J50" s="4"/>
      <c r="K50" s="4"/>
      <c r="L50" s="39"/>
      <c r="M50" s="4"/>
      <c r="N50" s="39" t="s">
        <v>52</v>
      </c>
      <c r="O50" s="163"/>
      <c r="P50" s="39" t="str">
        <f>IF(OR(O50="",O50=AX50),"","*")</f>
        <v/>
      </c>
      <c r="AV50" s="4"/>
      <c r="AX50" s="56">
        <f>BE39</f>
        <v>45.27</v>
      </c>
    </row>
    <row r="51" spans="4:50" ht="15">
      <c r="D51" s="4"/>
      <c r="E51" s="4"/>
      <c r="F51" s="4"/>
      <c r="G51" s="4"/>
      <c r="H51" s="4" t="s">
        <v>69</v>
      </c>
      <c r="I51" s="4"/>
      <c r="J51" s="4"/>
      <c r="K51" s="4"/>
      <c r="L51" s="39"/>
      <c r="M51" s="4"/>
      <c r="N51" s="4"/>
      <c r="O51" s="163"/>
      <c r="P51" s="39" t="str">
        <f>IF(OR(O51="",O51=AX51),"","*")</f>
        <v/>
      </c>
      <c r="AV51" s="4"/>
      <c r="AX51" s="56">
        <f>BE41</f>
        <v>277.52</v>
      </c>
    </row>
    <row r="52" spans="4:50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AV52" s="4"/>
      <c r="AX52" s="4"/>
    </row>
    <row r="53" spans="4:50" ht="15">
      <c r="D53" s="4"/>
      <c r="E53" s="210" t="s">
        <v>64</v>
      </c>
      <c r="F53" s="209"/>
      <c r="G53" s="4" t="s">
        <v>65</v>
      </c>
      <c r="H53" s="4"/>
      <c r="I53" s="4"/>
      <c r="J53" s="4"/>
      <c r="K53" s="4"/>
      <c r="L53" s="39"/>
      <c r="M53" s="163"/>
      <c r="N53" s="39" t="str">
        <f>IF(OR(M53="",M53=AV53),"","*")</f>
        <v/>
      </c>
      <c r="O53" s="4"/>
      <c r="P53" s="4"/>
      <c r="AV53" s="56">
        <f>AX45</f>
        <v>5579.65</v>
      </c>
      <c r="AX53" s="4"/>
    </row>
    <row r="54" spans="4:50" ht="15">
      <c r="D54" s="4"/>
      <c r="E54" s="4"/>
      <c r="F54" s="4"/>
      <c r="G54" s="59"/>
      <c r="H54" s="4" t="s">
        <v>66</v>
      </c>
      <c r="I54" s="4"/>
      <c r="J54" s="4"/>
      <c r="K54" s="4"/>
      <c r="L54" s="39"/>
      <c r="M54" s="4"/>
      <c r="N54" s="39" t="s">
        <v>52</v>
      </c>
      <c r="O54" s="163"/>
      <c r="P54" s="39" t="str">
        <f>IF(OR(O54="",O54=AX54),"","*")</f>
        <v/>
      </c>
      <c r="AV54" s="4"/>
      <c r="AX54" s="56">
        <f>AX45</f>
        <v>5579.65</v>
      </c>
    </row>
    <row r="55" spans="4:50"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</sheetData>
  <sheetProtection password="F4C4" sheet="1" objects="1" scenarios="1"/>
  <mergeCells count="33">
    <mergeCell ref="E12:I12"/>
    <mergeCell ref="Q14:AG14"/>
    <mergeCell ref="AI14:AK14"/>
    <mergeCell ref="B8:AS8"/>
    <mergeCell ref="B9:AK9"/>
    <mergeCell ref="B10:AK10"/>
    <mergeCell ref="B11:AS11"/>
    <mergeCell ref="F14:F17"/>
    <mergeCell ref="C1:L1"/>
    <mergeCell ref="AL14:AS14"/>
    <mergeCell ref="G15:G17"/>
    <mergeCell ref="H15:H17"/>
    <mergeCell ref="K15:K17"/>
    <mergeCell ref="L15:L17"/>
    <mergeCell ref="Q15:S15"/>
    <mergeCell ref="AG17:AH17"/>
    <mergeCell ref="G14:J14"/>
    <mergeCell ref="K14:N14"/>
    <mergeCell ref="B16:D16"/>
    <mergeCell ref="Q16:S16"/>
    <mergeCell ref="AE16:AF16"/>
    <mergeCell ref="B17:D17"/>
    <mergeCell ref="AE17:AF17"/>
    <mergeCell ref="E14:E17"/>
    <mergeCell ref="E36:F36"/>
    <mergeCell ref="E40:F40"/>
    <mergeCell ref="E47:F47"/>
    <mergeCell ref="E53:F53"/>
    <mergeCell ref="D31:P31"/>
    <mergeCell ref="H33:K33"/>
    <mergeCell ref="H34:K34"/>
    <mergeCell ref="E35:F35"/>
    <mergeCell ref="E33:F33"/>
  </mergeCells>
  <phoneticPr fontId="0" type="noConversion"/>
  <pageMargins left="0.57999999999999996" right="0.67" top="1" bottom="1" header="0.5" footer="0.5"/>
  <pageSetup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L57"/>
  <sheetViews>
    <sheetView showGridLines="0" workbookViewId="0">
      <selection activeCell="S29" sqref="S29"/>
    </sheetView>
  </sheetViews>
  <sheetFormatPr defaultRowHeight="12.5"/>
  <cols>
    <col min="1" max="1" width="1.81640625" customWidth="1"/>
    <col min="2" max="3" width="9.7265625" customWidth="1"/>
    <col min="4" max="4" width="2.7265625" customWidth="1"/>
    <col min="5" max="5" width="5.26953125" customWidth="1"/>
    <col min="6" max="7" width="5.453125" customWidth="1"/>
    <col min="9" max="9" width="10.7265625" customWidth="1"/>
    <col min="10" max="10" width="2.26953125" customWidth="1"/>
    <col min="11" max="11" width="5.453125" customWidth="1"/>
    <col min="13" max="13" width="10.7265625" customWidth="1"/>
    <col min="14" max="14" width="2.26953125" customWidth="1"/>
    <col min="15" max="15" width="10.7265625" customWidth="1"/>
    <col min="16" max="16" width="2.26953125" customWidth="1"/>
    <col min="17" max="17" width="9.26953125" customWidth="1"/>
    <col min="18" max="18" width="2.26953125" customWidth="1"/>
    <col min="20" max="20" width="2.26953125" customWidth="1"/>
    <col min="21" max="21" width="9.26953125" bestFit="1" customWidth="1"/>
    <col min="22" max="22" width="2.26953125" customWidth="1"/>
    <col min="24" max="24" width="2.26953125" customWidth="1"/>
    <col min="26" max="26" width="2.26953125" customWidth="1"/>
    <col min="28" max="28" width="2.26953125" customWidth="1"/>
    <col min="30" max="30" width="2.26953125" customWidth="1"/>
    <col min="31" max="31" width="9.26953125" customWidth="1"/>
    <col min="32" max="32" width="2.26953125" customWidth="1"/>
    <col min="34" max="34" width="2.26953125" customWidth="1"/>
    <col min="35" max="35" width="6.7265625" customWidth="1"/>
    <col min="36" max="36" width="10.7265625" customWidth="1"/>
    <col min="37" max="37" width="2.26953125" customWidth="1"/>
    <col min="38" max="38" width="9.90625" customWidth="1"/>
    <col min="39" max="39" width="2.26953125" customWidth="1"/>
    <col min="40" max="40" width="9.90625" customWidth="1"/>
    <col min="41" max="41" width="2.26953125" customWidth="1"/>
    <col min="42" max="42" width="9.90625" customWidth="1"/>
    <col min="43" max="43" width="2.26953125" customWidth="1"/>
    <col min="44" max="44" width="9.90625" customWidth="1"/>
    <col min="45" max="45" width="2.26953125" customWidth="1"/>
    <col min="46" max="46" width="10.7265625" hidden="1" customWidth="1"/>
    <col min="47" max="47" width="9.1796875" hidden="1" customWidth="1"/>
    <col min="48" max="51" width="10.7265625" hidden="1" customWidth="1"/>
    <col min="52" max="55" width="9.1796875" hidden="1" customWidth="1"/>
    <col min="56" max="56" width="10.7265625" hidden="1" customWidth="1"/>
    <col min="57" max="64" width="9.1796875" hidden="1" customWidth="1"/>
  </cols>
  <sheetData>
    <row r="1" spans="2:64" ht="12.75" customHeight="1">
      <c r="B1" s="2" t="s">
        <v>17</v>
      </c>
      <c r="C1" s="215" t="s">
        <v>72</v>
      </c>
      <c r="D1" s="215"/>
      <c r="E1" s="215"/>
      <c r="F1" s="215"/>
      <c r="G1" s="215"/>
      <c r="H1" s="215"/>
      <c r="I1" s="215"/>
      <c r="J1" s="215"/>
      <c r="K1" s="215"/>
      <c r="L1" s="215"/>
    </row>
    <row r="2" spans="2:64" ht="12.75" customHeight="1"/>
    <row r="3" spans="2:64" ht="13">
      <c r="B3" s="75" t="s">
        <v>149</v>
      </c>
    </row>
    <row r="4" spans="2:64">
      <c r="B4" s="8" t="s">
        <v>19</v>
      </c>
      <c r="C4" s="8"/>
      <c r="D4" s="8"/>
    </row>
    <row r="5" spans="2:64" ht="13">
      <c r="B5" s="75" t="s">
        <v>153</v>
      </c>
      <c r="C5" s="75"/>
      <c r="D5" s="8"/>
    </row>
    <row r="7" spans="2:64" ht="13">
      <c r="B7" s="6" t="s">
        <v>74</v>
      </c>
      <c r="C7" s="6"/>
      <c r="D7" s="7"/>
    </row>
    <row r="8" spans="2:64" ht="13">
      <c r="B8" s="214" t="s">
        <v>41</v>
      </c>
      <c r="C8" s="214"/>
      <c r="D8" s="214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1"/>
    </row>
    <row r="9" spans="2:64" ht="12.5" customHeight="1">
      <c r="B9" s="244"/>
      <c r="C9" s="244"/>
      <c r="D9" s="244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4"/>
      <c r="AM9" s="4"/>
      <c r="AN9" s="4"/>
      <c r="AO9" s="4"/>
      <c r="AP9" s="4"/>
      <c r="AQ9" s="4"/>
      <c r="AR9" s="4"/>
      <c r="AS9" s="4"/>
      <c r="AT9" s="1"/>
    </row>
    <row r="10" spans="2:64" ht="12.75" customHeight="1">
      <c r="B10" s="244"/>
      <c r="C10" s="244"/>
      <c r="D10" s="244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4"/>
      <c r="AM10" s="4"/>
      <c r="AN10" s="4"/>
      <c r="AO10" s="4"/>
      <c r="AP10" s="4"/>
      <c r="AQ10" s="4"/>
      <c r="AR10" s="4"/>
      <c r="AS10" s="4"/>
      <c r="AT10" s="1"/>
    </row>
    <row r="11" spans="2:64" ht="13" customHeight="1">
      <c r="B11" s="246" t="s">
        <v>7</v>
      </c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1"/>
    </row>
    <row r="12" spans="2:64" ht="12.5" customHeight="1">
      <c r="B12" s="40" t="s">
        <v>18</v>
      </c>
      <c r="C12" s="40"/>
      <c r="D12" s="40"/>
      <c r="E12" s="239" t="s">
        <v>42</v>
      </c>
      <c r="F12" s="240"/>
      <c r="G12" s="240"/>
      <c r="H12" s="240"/>
      <c r="I12" s="240"/>
      <c r="J12" s="12"/>
      <c r="K12" s="12"/>
      <c r="L12" s="12"/>
      <c r="M12" s="12"/>
      <c r="N12" s="22"/>
      <c r="O12" s="12"/>
      <c r="P12" s="12"/>
      <c r="Q12" s="12"/>
      <c r="R12" s="12"/>
      <c r="S12" s="12"/>
      <c r="T12" s="12"/>
      <c r="U12" s="13"/>
      <c r="V12" s="13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4"/>
      <c r="AM12" s="4"/>
      <c r="AN12" s="4"/>
      <c r="AO12" s="4"/>
      <c r="AP12" s="4"/>
      <c r="AQ12" s="4"/>
      <c r="AR12" s="4"/>
      <c r="AS12" s="4"/>
      <c r="AT12" s="1"/>
    </row>
    <row r="13" spans="2:64" ht="13" thickBo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96"/>
    </row>
    <row r="14" spans="2:64" ht="13" customHeight="1" thickTop="1">
      <c r="B14" s="15"/>
      <c r="C14" s="16"/>
      <c r="D14" s="54"/>
      <c r="E14" s="237" t="s">
        <v>10</v>
      </c>
      <c r="F14" s="247" t="s">
        <v>11</v>
      </c>
      <c r="G14" s="216" t="s">
        <v>37</v>
      </c>
      <c r="H14" s="218"/>
      <c r="I14" s="218"/>
      <c r="J14" s="219"/>
      <c r="K14" s="216" t="s">
        <v>43</v>
      </c>
      <c r="L14" s="218"/>
      <c r="M14" s="218"/>
      <c r="N14" s="219"/>
      <c r="O14" s="49"/>
      <c r="P14" s="43"/>
      <c r="Q14" s="241" t="s">
        <v>6</v>
      </c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7"/>
      <c r="AI14" s="216" t="s">
        <v>48</v>
      </c>
      <c r="AJ14" s="242"/>
      <c r="AK14" s="243"/>
      <c r="AL14" s="216" t="s">
        <v>51</v>
      </c>
      <c r="AM14" s="217"/>
      <c r="AN14" s="217"/>
      <c r="AO14" s="217"/>
      <c r="AP14" s="217"/>
      <c r="AQ14" s="218"/>
      <c r="AR14" s="218"/>
      <c r="AS14" s="219"/>
      <c r="AT14" s="97"/>
      <c r="AY14" s="200" t="s">
        <v>0</v>
      </c>
      <c r="AZ14" s="200" t="s">
        <v>1</v>
      </c>
      <c r="BA14" s="200" t="s">
        <v>3</v>
      </c>
      <c r="BB14" s="200" t="s">
        <v>4</v>
      </c>
      <c r="BC14" s="200" t="s">
        <v>16</v>
      </c>
      <c r="BD14" s="200" t="s">
        <v>5</v>
      </c>
      <c r="BE14" s="200" t="s">
        <v>44</v>
      </c>
      <c r="BF14" s="200" t="s">
        <v>136</v>
      </c>
      <c r="BG14" s="200" t="s">
        <v>46</v>
      </c>
      <c r="BH14" s="200" t="s">
        <v>138</v>
      </c>
      <c r="BI14" s="200" t="s">
        <v>0</v>
      </c>
      <c r="BJ14" s="200" t="s">
        <v>1</v>
      </c>
      <c r="BK14" s="200" t="s">
        <v>15</v>
      </c>
      <c r="BL14" s="200" t="s">
        <v>16</v>
      </c>
    </row>
    <row r="15" spans="2:64" ht="12.5" customHeight="1">
      <c r="B15" s="17"/>
      <c r="C15" s="10"/>
      <c r="D15" s="55"/>
      <c r="E15" s="238"/>
      <c r="F15" s="248"/>
      <c r="G15" s="220" t="s">
        <v>38</v>
      </c>
      <c r="H15" s="223" t="s">
        <v>39</v>
      </c>
      <c r="I15" s="9"/>
      <c r="J15" s="63"/>
      <c r="K15" s="220" t="s">
        <v>38</v>
      </c>
      <c r="L15" s="223" t="s">
        <v>39</v>
      </c>
      <c r="M15" s="9"/>
      <c r="N15" s="63"/>
      <c r="O15" s="41"/>
      <c r="P15" s="44"/>
      <c r="Q15" s="226"/>
      <c r="R15" s="226"/>
      <c r="S15" s="226"/>
      <c r="T15" s="32"/>
      <c r="U15" s="24"/>
      <c r="V15" s="28"/>
      <c r="W15" s="24"/>
      <c r="X15" s="28"/>
      <c r="Y15" s="33"/>
      <c r="Z15" s="33"/>
      <c r="AA15" s="24"/>
      <c r="AB15" s="28"/>
      <c r="AC15" s="24"/>
      <c r="AD15" s="28"/>
      <c r="AE15" s="33"/>
      <c r="AF15" s="33"/>
      <c r="AG15" s="24"/>
      <c r="AH15" s="28"/>
      <c r="AI15" s="87"/>
      <c r="AJ15" s="11"/>
      <c r="AK15" s="23"/>
      <c r="AL15" s="24"/>
      <c r="AM15" s="28"/>
      <c r="AN15" s="24"/>
      <c r="AO15" s="28"/>
      <c r="AP15" s="24"/>
      <c r="AQ15" s="28"/>
      <c r="AR15" s="24"/>
      <c r="AS15" s="28"/>
      <c r="AT15" s="98"/>
      <c r="AY15">
        <v>6.2E-2</v>
      </c>
      <c r="AZ15">
        <v>1.4500000000000001E-2</v>
      </c>
      <c r="BB15">
        <v>3.0700000000000002E-2</v>
      </c>
      <c r="BC15">
        <v>6.9999999999999999E-4</v>
      </c>
      <c r="BD15">
        <v>0.03</v>
      </c>
      <c r="BF15" s="200" t="s">
        <v>137</v>
      </c>
      <c r="BG15" s="200" t="s">
        <v>137</v>
      </c>
      <c r="BH15" s="200" t="s">
        <v>139</v>
      </c>
      <c r="BI15">
        <v>6.2E-2</v>
      </c>
      <c r="BJ15">
        <v>1.4500000000000001E-2</v>
      </c>
      <c r="BK15">
        <v>6.0000000000000001E-3</v>
      </c>
      <c r="BL15">
        <v>3.6784999999999998E-2</v>
      </c>
    </row>
    <row r="16" spans="2:64">
      <c r="B16" s="229"/>
      <c r="C16" s="230"/>
      <c r="D16" s="231"/>
      <c r="E16" s="238"/>
      <c r="F16" s="248"/>
      <c r="G16" s="221"/>
      <c r="H16" s="224"/>
      <c r="I16" s="11"/>
      <c r="J16" s="23"/>
      <c r="K16" s="221"/>
      <c r="L16" s="224"/>
      <c r="M16" s="11"/>
      <c r="N16" s="23"/>
      <c r="O16" s="42" t="s">
        <v>12</v>
      </c>
      <c r="P16" s="45"/>
      <c r="Q16" s="232" t="s">
        <v>2</v>
      </c>
      <c r="R16" s="232"/>
      <c r="S16" s="232"/>
      <c r="T16" s="33"/>
      <c r="U16" s="24"/>
      <c r="V16" s="29"/>
      <c r="W16" s="24"/>
      <c r="X16" s="29"/>
      <c r="Y16" s="33"/>
      <c r="Z16" s="33"/>
      <c r="AA16" s="24"/>
      <c r="AB16" s="29"/>
      <c r="AC16" s="24"/>
      <c r="AD16" s="29"/>
      <c r="AE16" s="233" t="s">
        <v>47</v>
      </c>
      <c r="AF16" s="234"/>
      <c r="AG16" s="86" t="s">
        <v>46</v>
      </c>
      <c r="AH16" s="29"/>
      <c r="AI16" s="88" t="s">
        <v>49</v>
      </c>
      <c r="AJ16" s="11"/>
      <c r="AK16" s="23"/>
      <c r="AL16" s="24"/>
      <c r="AM16" s="29"/>
      <c r="AN16" s="24"/>
      <c r="AO16" s="29"/>
      <c r="AP16" s="24"/>
      <c r="AQ16" s="29"/>
      <c r="AR16" s="24"/>
      <c r="AS16" s="29"/>
      <c r="AT16" s="98"/>
    </row>
    <row r="17" spans="2:64" ht="16" customHeight="1">
      <c r="B17" s="235" t="s">
        <v>26</v>
      </c>
      <c r="C17" s="232"/>
      <c r="D17" s="236"/>
      <c r="E17" s="238"/>
      <c r="F17" s="248"/>
      <c r="G17" s="222"/>
      <c r="H17" s="225"/>
      <c r="I17" s="72" t="s">
        <v>40</v>
      </c>
      <c r="J17" s="64"/>
      <c r="K17" s="222"/>
      <c r="L17" s="225"/>
      <c r="M17" s="72" t="s">
        <v>40</v>
      </c>
      <c r="N17" s="64"/>
      <c r="O17" s="93" t="s">
        <v>13</v>
      </c>
      <c r="P17" s="46"/>
      <c r="Q17" s="81" t="s">
        <v>0</v>
      </c>
      <c r="R17" s="82"/>
      <c r="S17" s="83" t="s">
        <v>1</v>
      </c>
      <c r="T17" s="34"/>
      <c r="U17" s="85" t="s">
        <v>3</v>
      </c>
      <c r="V17" s="31"/>
      <c r="W17" s="72" t="s">
        <v>4</v>
      </c>
      <c r="X17" s="29"/>
      <c r="Y17" s="72" t="s">
        <v>16</v>
      </c>
      <c r="Z17" s="30"/>
      <c r="AA17" s="85" t="s">
        <v>5</v>
      </c>
      <c r="AB17" s="29"/>
      <c r="AC17" s="85" t="s">
        <v>44</v>
      </c>
      <c r="AD17" s="29"/>
      <c r="AE17" s="227" t="s">
        <v>45</v>
      </c>
      <c r="AF17" s="228"/>
      <c r="AG17" s="227" t="s">
        <v>45</v>
      </c>
      <c r="AH17" s="228"/>
      <c r="AI17" s="89" t="s">
        <v>50</v>
      </c>
      <c r="AJ17" s="84" t="s">
        <v>40</v>
      </c>
      <c r="AK17" s="21"/>
      <c r="AL17" s="85" t="s">
        <v>0</v>
      </c>
      <c r="AM17" s="29"/>
      <c r="AN17" s="85" t="s">
        <v>1</v>
      </c>
      <c r="AO17" s="29"/>
      <c r="AP17" s="85" t="s">
        <v>15</v>
      </c>
      <c r="AQ17" s="29"/>
      <c r="AR17" s="85" t="s">
        <v>16</v>
      </c>
      <c r="AS17" s="29"/>
      <c r="AT17" s="98"/>
    </row>
    <row r="18" spans="2:64" ht="15">
      <c r="B18" s="60" t="s">
        <v>27</v>
      </c>
      <c r="C18" s="102"/>
      <c r="D18" s="20"/>
      <c r="E18" s="193" t="s">
        <v>9</v>
      </c>
      <c r="F18" s="193">
        <v>1</v>
      </c>
      <c r="G18" s="176">
        <v>40</v>
      </c>
      <c r="H18" s="177">
        <v>17.5</v>
      </c>
      <c r="I18" s="73">
        <f>G18*H18</f>
        <v>700</v>
      </c>
      <c r="J18" s="35" t="str">
        <f t="shared" ref="J18:J28" si="0">IF(OR(I18="",I18=AU18),"","*")</f>
        <v/>
      </c>
      <c r="K18" s="77"/>
      <c r="L18" s="80"/>
      <c r="M18" s="66">
        <f t="shared" ref="M18:M23" si="1">K18*L18</f>
        <v>0</v>
      </c>
      <c r="N18" s="35" t="str">
        <f t="shared" ref="N18:N28" si="2">IF(OR(M18="",M18=AV18),"","*")</f>
        <v/>
      </c>
      <c r="O18" s="52">
        <f t="shared" ref="O18:O27" si="3">I18+M18</f>
        <v>700</v>
      </c>
      <c r="P18" s="35" t="str">
        <f t="shared" ref="P18:P28" si="4">IF(OR(O18="",O18=AX18),"","*")</f>
        <v/>
      </c>
      <c r="Q18" s="26">
        <f>O18*0.062</f>
        <v>43.4</v>
      </c>
      <c r="R18" s="35" t="str">
        <f t="shared" ref="R18:R28" si="5">IF(OR(Q18="",Q18=AY18),"","*")</f>
        <v/>
      </c>
      <c r="S18" s="25">
        <f>O18*0.0145</f>
        <v>10.15</v>
      </c>
      <c r="T18" s="35" t="str">
        <f t="shared" ref="T18:T28" si="6">IF(OR(S18="",S18=AZ18),"","*")</f>
        <v/>
      </c>
      <c r="U18" s="52">
        <v>76</v>
      </c>
      <c r="V18" s="35" t="str">
        <f t="shared" ref="V18:V28" si="7">IF(OR(U18="",U18=BA18),"","*")</f>
        <v/>
      </c>
      <c r="W18" s="25">
        <f t="shared" ref="W18:W27" si="8">O18*0.0307</f>
        <v>21.49</v>
      </c>
      <c r="X18" s="35" t="str">
        <f t="shared" ref="X18:X28" si="9">IF(OR(W18="",W18=BB18),"","*")</f>
        <v/>
      </c>
      <c r="Y18" s="25">
        <f>O18*0.0007</f>
        <v>0.49</v>
      </c>
      <c r="Z18" s="35" t="str">
        <f t="shared" ref="Z18:Z28" si="10">IF(OR(Y18="",Y18=BC18),"","*")</f>
        <v/>
      </c>
      <c r="AA18" s="25">
        <f t="shared" ref="AA18:AA27" si="11">O18*0.03</f>
        <v>21</v>
      </c>
      <c r="AB18" s="35" t="str">
        <f t="shared" ref="AB18:AB28" si="12">IF(OR(AA18="",AA18=BD18),"","*")</f>
        <v/>
      </c>
      <c r="AC18" s="25">
        <v>20</v>
      </c>
      <c r="AD18" s="35" t="str">
        <f t="shared" ref="AD18:AD28" si="13">IF(OR(AC18="",AC18=BE18),"","*")</f>
        <v/>
      </c>
      <c r="AE18" s="134">
        <v>0.85</v>
      </c>
      <c r="AF18" s="35" t="str">
        <f t="shared" ref="AF18:AF28" si="14">IF(OR(AE18="",AE18=BF18),"","*")</f>
        <v/>
      </c>
      <c r="AG18" s="134">
        <v>1.65</v>
      </c>
      <c r="AH18" s="35" t="str">
        <f t="shared" ref="AH18:AH28" si="15">IF(OR(AG18="",AG18=BG18),"","*")</f>
        <v/>
      </c>
      <c r="AI18" s="104">
        <v>313</v>
      </c>
      <c r="AJ18" s="162">
        <f t="shared" ref="AJ18:AJ27" si="16">O18-SUM(Q18:AG18)</f>
        <v>504.97</v>
      </c>
      <c r="AK18" s="35" t="str">
        <f t="shared" ref="AK18:AK28" si="17">IF(OR(AJ18="",AJ18=BH18),"","*")</f>
        <v/>
      </c>
      <c r="AL18" s="25">
        <f>O18</f>
        <v>700</v>
      </c>
      <c r="AM18" s="35" t="str">
        <f t="shared" ref="AM18:AM28" si="18">IF(OR(AL18="",AL18=BI18),"","*")</f>
        <v/>
      </c>
      <c r="AN18" s="25">
        <f>O18</f>
        <v>700</v>
      </c>
      <c r="AO18" s="35" t="str">
        <f t="shared" ref="AO18:AO28" si="19">IF(OR(AN18="",AN18=BJ18),"","*")</f>
        <v/>
      </c>
      <c r="AP18" s="25">
        <f>O18</f>
        <v>700</v>
      </c>
      <c r="AQ18" s="35" t="str">
        <f t="shared" ref="AQ18:AQ28" si="20">IF(OR(AP18="",AP18=BK18),"","*")</f>
        <v/>
      </c>
      <c r="AR18" s="25">
        <f>O18</f>
        <v>700</v>
      </c>
      <c r="AS18" s="35" t="str">
        <f t="shared" ref="AS18:AS28" si="21">IF(OR(AR18="",AR18=BL18),"","*")</f>
        <v/>
      </c>
      <c r="AT18" s="99"/>
      <c r="AU18" s="205">
        <v>700</v>
      </c>
      <c r="AV18" s="205"/>
      <c r="AW18" s="205"/>
      <c r="AX18" s="205">
        <f>AU18</f>
        <v>700</v>
      </c>
      <c r="AY18" s="26">
        <f>AX18*$AY$15</f>
        <v>43.4</v>
      </c>
      <c r="AZ18" s="25">
        <f>AX18*$AZ$15</f>
        <v>10.15</v>
      </c>
      <c r="BA18" s="52">
        <v>76</v>
      </c>
      <c r="BB18" s="25">
        <f>AX18*$BB$15</f>
        <v>21.49</v>
      </c>
      <c r="BC18" s="25">
        <f>AX18*$BC$15</f>
        <v>0.49</v>
      </c>
      <c r="BD18" s="25">
        <f>AX18*$BD$15</f>
        <v>21</v>
      </c>
      <c r="BE18" s="25">
        <v>20</v>
      </c>
      <c r="BF18" s="25">
        <v>0.85</v>
      </c>
      <c r="BG18" s="25">
        <v>1.65</v>
      </c>
      <c r="BH18" s="3">
        <f t="shared" ref="BH18:BH27" si="22">AX18-SUM(AY18:BG18)</f>
        <v>504.97</v>
      </c>
      <c r="BI18" s="25">
        <f>AX18</f>
        <v>700</v>
      </c>
      <c r="BJ18" s="25">
        <f>AX18</f>
        <v>700</v>
      </c>
      <c r="BK18" s="25">
        <f>AX18</f>
        <v>700</v>
      </c>
      <c r="BL18" s="25">
        <f>AX18</f>
        <v>700</v>
      </c>
    </row>
    <row r="19" spans="2:64" ht="15">
      <c r="B19" s="18" t="s">
        <v>28</v>
      </c>
      <c r="C19" s="103"/>
      <c r="D19" s="20"/>
      <c r="E19" s="193" t="s">
        <v>9</v>
      </c>
      <c r="F19" s="193">
        <v>0</v>
      </c>
      <c r="G19" s="176">
        <v>40</v>
      </c>
      <c r="H19" s="177">
        <v>17.25</v>
      </c>
      <c r="I19" s="67">
        <f>G19*H19</f>
        <v>690</v>
      </c>
      <c r="J19" s="35" t="str">
        <f t="shared" si="0"/>
        <v/>
      </c>
      <c r="K19" s="78">
        <v>8</v>
      </c>
      <c r="L19" s="94">
        <f>ROUND(H19*1.5,2)</f>
        <v>25.88</v>
      </c>
      <c r="M19" s="68">
        <f t="shared" si="1"/>
        <v>207.04</v>
      </c>
      <c r="N19" s="35" t="str">
        <f t="shared" si="2"/>
        <v/>
      </c>
      <c r="O19" s="53">
        <f t="shared" si="3"/>
        <v>897.04</v>
      </c>
      <c r="P19" s="36" t="str">
        <f t="shared" si="4"/>
        <v/>
      </c>
      <c r="Q19" s="26">
        <f t="shared" ref="Q19:Q27" si="23">O19*0.062</f>
        <v>55.62</v>
      </c>
      <c r="R19" s="36" t="str">
        <f t="shared" si="5"/>
        <v/>
      </c>
      <c r="S19" s="26">
        <f t="shared" ref="S19:S27" si="24">O19*0.0145</f>
        <v>13.01</v>
      </c>
      <c r="T19" s="36" t="str">
        <f t="shared" si="6"/>
        <v/>
      </c>
      <c r="U19" s="53">
        <v>119</v>
      </c>
      <c r="V19" s="36" t="str">
        <f t="shared" si="7"/>
        <v/>
      </c>
      <c r="W19" s="26">
        <f t="shared" si="8"/>
        <v>27.54</v>
      </c>
      <c r="X19" s="36" t="str">
        <f t="shared" si="9"/>
        <v/>
      </c>
      <c r="Y19" s="25">
        <f t="shared" ref="Y19:Y27" si="25">O19*0.0007</f>
        <v>0.63</v>
      </c>
      <c r="Z19" s="36" t="str">
        <f t="shared" si="10"/>
        <v/>
      </c>
      <c r="AA19" s="26">
        <f t="shared" si="11"/>
        <v>26.91</v>
      </c>
      <c r="AB19" s="36" t="str">
        <f t="shared" si="12"/>
        <v/>
      </c>
      <c r="AC19" s="26">
        <v>50</v>
      </c>
      <c r="AD19" s="36" t="str">
        <f t="shared" si="13"/>
        <v/>
      </c>
      <c r="AE19" s="133">
        <v>0.85</v>
      </c>
      <c r="AF19" s="36" t="str">
        <f t="shared" si="14"/>
        <v/>
      </c>
      <c r="AG19" s="133">
        <v>1.65</v>
      </c>
      <c r="AH19" s="36" t="str">
        <f t="shared" si="15"/>
        <v/>
      </c>
      <c r="AI19" s="90">
        <v>314</v>
      </c>
      <c r="AJ19" s="178">
        <f t="shared" si="16"/>
        <v>601.83000000000004</v>
      </c>
      <c r="AK19" s="36" t="str">
        <f t="shared" si="17"/>
        <v/>
      </c>
      <c r="AL19" s="26">
        <f t="shared" ref="AL19:AL27" si="26">O19</f>
        <v>897.04</v>
      </c>
      <c r="AM19" s="36" t="str">
        <f t="shared" si="18"/>
        <v/>
      </c>
      <c r="AN19" s="26">
        <f t="shared" ref="AN19:AN27" si="27">O19</f>
        <v>897.04</v>
      </c>
      <c r="AO19" s="36" t="str">
        <f t="shared" si="19"/>
        <v/>
      </c>
      <c r="AP19" s="26">
        <f t="shared" ref="AP19:AP27" si="28">O19</f>
        <v>897.04</v>
      </c>
      <c r="AQ19" s="36" t="str">
        <f t="shared" si="20"/>
        <v/>
      </c>
      <c r="AR19" s="26">
        <f t="shared" ref="AR19:AR27" si="29">O19</f>
        <v>897.04</v>
      </c>
      <c r="AS19" s="36" t="str">
        <f t="shared" si="21"/>
        <v/>
      </c>
      <c r="AT19" s="99"/>
      <c r="AU19" s="205">
        <f>17.25*40</f>
        <v>690</v>
      </c>
      <c r="AV19" s="205">
        <f>ROUND(17.25*1.5,2)*8</f>
        <v>207.04</v>
      </c>
      <c r="AW19" s="205"/>
      <c r="AX19" s="205">
        <f t="shared" ref="AX19:AX27" si="30">AU19+AV19</f>
        <v>897.04</v>
      </c>
      <c r="AY19" s="26">
        <f t="shared" ref="AY19:AY27" si="31">AX19*$AY$15</f>
        <v>55.62</v>
      </c>
      <c r="AZ19" s="26">
        <f t="shared" ref="AZ19:AZ27" si="32">AX19*$AZ$15</f>
        <v>13.01</v>
      </c>
      <c r="BA19" s="53">
        <v>119</v>
      </c>
      <c r="BB19" s="25">
        <f t="shared" ref="BB19:BB27" si="33">AX19*$BB$15</f>
        <v>27.54</v>
      </c>
      <c r="BC19" s="25">
        <f t="shared" ref="BC19:BC27" si="34">AX19*$BC$15</f>
        <v>0.63</v>
      </c>
      <c r="BD19" s="25">
        <f t="shared" ref="BD19:BD27" si="35">AX19*$BD$15</f>
        <v>26.91</v>
      </c>
      <c r="BE19" s="26">
        <v>50</v>
      </c>
      <c r="BF19" s="26">
        <v>0.85</v>
      </c>
      <c r="BG19" s="26">
        <v>1.65</v>
      </c>
      <c r="BH19" s="3">
        <f t="shared" si="22"/>
        <v>601.83000000000004</v>
      </c>
      <c r="BI19" s="26">
        <f t="shared" ref="BI19:BI27" si="36">AX19</f>
        <v>897.04</v>
      </c>
      <c r="BJ19" s="26">
        <f t="shared" ref="BJ19:BJ27" si="37">AX19</f>
        <v>897.04</v>
      </c>
      <c r="BK19" s="26">
        <f t="shared" ref="BK19:BK27" si="38">AX19</f>
        <v>897.04</v>
      </c>
      <c r="BL19" s="26">
        <f t="shared" ref="BL19:BL27" si="39">AX19</f>
        <v>897.04</v>
      </c>
    </row>
    <row r="20" spans="2:64" ht="15">
      <c r="B20" s="18" t="s">
        <v>29</v>
      </c>
      <c r="C20" s="103"/>
      <c r="D20" s="20"/>
      <c r="E20" s="193" t="s">
        <v>8</v>
      </c>
      <c r="F20" s="193">
        <v>2</v>
      </c>
      <c r="G20" s="176">
        <v>37.5</v>
      </c>
      <c r="H20" s="177">
        <v>18.100000000000001</v>
      </c>
      <c r="I20" s="67">
        <f>G20*H20</f>
        <v>678.75</v>
      </c>
      <c r="J20" s="35" t="str">
        <f t="shared" si="0"/>
        <v/>
      </c>
      <c r="K20" s="78"/>
      <c r="L20" s="94"/>
      <c r="M20" s="67">
        <f t="shared" si="1"/>
        <v>0</v>
      </c>
      <c r="N20" s="35" t="str">
        <f t="shared" si="2"/>
        <v/>
      </c>
      <c r="O20" s="53">
        <f t="shared" si="3"/>
        <v>678.75</v>
      </c>
      <c r="P20" s="36" t="str">
        <f t="shared" si="4"/>
        <v/>
      </c>
      <c r="Q20" s="26">
        <f t="shared" si="23"/>
        <v>42.08</v>
      </c>
      <c r="R20" s="36" t="str">
        <f t="shared" si="5"/>
        <v/>
      </c>
      <c r="S20" s="26">
        <f t="shared" si="24"/>
        <v>9.84</v>
      </c>
      <c r="T20" s="36" t="str">
        <f t="shared" si="6"/>
        <v/>
      </c>
      <c r="U20" s="53">
        <v>32</v>
      </c>
      <c r="V20" s="36" t="str">
        <f t="shared" si="7"/>
        <v/>
      </c>
      <c r="W20" s="26">
        <f t="shared" si="8"/>
        <v>20.84</v>
      </c>
      <c r="X20" s="36" t="str">
        <f t="shared" si="9"/>
        <v/>
      </c>
      <c r="Y20" s="25">
        <f t="shared" si="25"/>
        <v>0.48</v>
      </c>
      <c r="Z20" s="36" t="str">
        <f t="shared" si="10"/>
        <v/>
      </c>
      <c r="AA20" s="26">
        <f t="shared" si="11"/>
        <v>20.36</v>
      </c>
      <c r="AB20" s="36" t="str">
        <f t="shared" si="12"/>
        <v/>
      </c>
      <c r="AC20" s="26">
        <v>40</v>
      </c>
      <c r="AD20" s="36" t="str">
        <f t="shared" si="13"/>
        <v/>
      </c>
      <c r="AE20" s="133">
        <v>0.85</v>
      </c>
      <c r="AF20" s="36" t="str">
        <f t="shared" si="14"/>
        <v/>
      </c>
      <c r="AG20" s="133">
        <v>1.65</v>
      </c>
      <c r="AH20" s="36" t="str">
        <f t="shared" si="15"/>
        <v/>
      </c>
      <c r="AI20" s="90">
        <v>315</v>
      </c>
      <c r="AJ20" s="178">
        <f t="shared" si="16"/>
        <v>510.65</v>
      </c>
      <c r="AK20" s="36" t="str">
        <f t="shared" si="17"/>
        <v/>
      </c>
      <c r="AL20" s="26">
        <f t="shared" si="26"/>
        <v>678.75</v>
      </c>
      <c r="AM20" s="36" t="str">
        <f t="shared" si="18"/>
        <v/>
      </c>
      <c r="AN20" s="26">
        <f t="shared" si="27"/>
        <v>678.75</v>
      </c>
      <c r="AO20" s="36" t="str">
        <f t="shared" si="19"/>
        <v/>
      </c>
      <c r="AP20" s="26">
        <f t="shared" si="28"/>
        <v>678.75</v>
      </c>
      <c r="AQ20" s="36" t="str">
        <f t="shared" si="20"/>
        <v/>
      </c>
      <c r="AR20" s="26">
        <f t="shared" si="29"/>
        <v>678.75</v>
      </c>
      <c r="AS20" s="36" t="str">
        <f t="shared" si="21"/>
        <v/>
      </c>
      <c r="AT20" s="99"/>
      <c r="AU20" s="205">
        <f>18.1*37.5</f>
        <v>678.75</v>
      </c>
      <c r="AV20" s="205"/>
      <c r="AW20" s="205"/>
      <c r="AX20" s="205">
        <f t="shared" si="30"/>
        <v>678.75</v>
      </c>
      <c r="AY20" s="26">
        <f t="shared" si="31"/>
        <v>42.08</v>
      </c>
      <c r="AZ20" s="26">
        <f t="shared" si="32"/>
        <v>9.84</v>
      </c>
      <c r="BA20" s="53">
        <v>32</v>
      </c>
      <c r="BB20" s="25">
        <f t="shared" si="33"/>
        <v>20.84</v>
      </c>
      <c r="BC20" s="25">
        <f t="shared" si="34"/>
        <v>0.48</v>
      </c>
      <c r="BD20" s="25">
        <f t="shared" si="35"/>
        <v>20.36</v>
      </c>
      <c r="BE20" s="26">
        <v>40</v>
      </c>
      <c r="BF20" s="26">
        <v>0.85</v>
      </c>
      <c r="BG20" s="26">
        <v>1.65</v>
      </c>
      <c r="BH20" s="3">
        <f t="shared" si="22"/>
        <v>510.65</v>
      </c>
      <c r="BI20" s="26">
        <f t="shared" si="36"/>
        <v>678.75</v>
      </c>
      <c r="BJ20" s="26">
        <f t="shared" si="37"/>
        <v>678.75</v>
      </c>
      <c r="BK20" s="26">
        <f t="shared" si="38"/>
        <v>678.75</v>
      </c>
      <c r="BL20" s="26">
        <f t="shared" si="39"/>
        <v>678.75</v>
      </c>
    </row>
    <row r="21" spans="2:64" ht="15">
      <c r="B21" s="18" t="s">
        <v>30</v>
      </c>
      <c r="C21" s="103"/>
      <c r="D21" s="20"/>
      <c r="E21" s="193" t="s">
        <v>8</v>
      </c>
      <c r="F21" s="193">
        <v>4</v>
      </c>
      <c r="G21" s="176">
        <v>40</v>
      </c>
      <c r="H21" s="177">
        <v>17.899999999999999</v>
      </c>
      <c r="I21" s="74">
        <f>G21*H21</f>
        <v>716</v>
      </c>
      <c r="J21" s="35" t="str">
        <f t="shared" si="0"/>
        <v/>
      </c>
      <c r="K21" s="78">
        <v>6</v>
      </c>
      <c r="L21" s="94">
        <f>ROUND(H21*1.5,2)</f>
        <v>26.85</v>
      </c>
      <c r="M21" s="74">
        <f t="shared" si="1"/>
        <v>161.1</v>
      </c>
      <c r="N21" s="35" t="str">
        <f t="shared" si="2"/>
        <v/>
      </c>
      <c r="O21" s="53">
        <f t="shared" si="3"/>
        <v>877.1</v>
      </c>
      <c r="P21" s="36" t="str">
        <f t="shared" si="4"/>
        <v/>
      </c>
      <c r="Q21" s="26">
        <f t="shared" si="23"/>
        <v>54.38</v>
      </c>
      <c r="R21" s="36" t="str">
        <f t="shared" si="5"/>
        <v/>
      </c>
      <c r="S21" s="26">
        <f t="shared" si="24"/>
        <v>12.72</v>
      </c>
      <c r="T21" s="36" t="str">
        <f t="shared" si="6"/>
        <v/>
      </c>
      <c r="U21" s="53">
        <v>35</v>
      </c>
      <c r="V21" s="36" t="str">
        <f t="shared" si="7"/>
        <v/>
      </c>
      <c r="W21" s="26">
        <f t="shared" si="8"/>
        <v>26.93</v>
      </c>
      <c r="X21" s="36" t="str">
        <f t="shared" si="9"/>
        <v/>
      </c>
      <c r="Y21" s="25">
        <f t="shared" si="25"/>
        <v>0.61</v>
      </c>
      <c r="Z21" s="36" t="str">
        <f t="shared" si="10"/>
        <v/>
      </c>
      <c r="AA21" s="26">
        <f t="shared" si="11"/>
        <v>26.31</v>
      </c>
      <c r="AB21" s="36" t="str">
        <f t="shared" si="12"/>
        <v/>
      </c>
      <c r="AC21" s="26">
        <v>50</v>
      </c>
      <c r="AD21" s="36" t="str">
        <f t="shared" si="13"/>
        <v/>
      </c>
      <c r="AE21" s="133">
        <v>0.85</v>
      </c>
      <c r="AF21" s="36" t="str">
        <f t="shared" si="14"/>
        <v/>
      </c>
      <c r="AG21" s="133">
        <v>1.65</v>
      </c>
      <c r="AH21" s="36" t="str">
        <f t="shared" si="15"/>
        <v/>
      </c>
      <c r="AI21" s="90">
        <v>316</v>
      </c>
      <c r="AJ21" s="178">
        <f t="shared" si="16"/>
        <v>668.65</v>
      </c>
      <c r="AK21" s="36" t="str">
        <f t="shared" si="17"/>
        <v/>
      </c>
      <c r="AL21" s="26">
        <f t="shared" si="26"/>
        <v>877.1</v>
      </c>
      <c r="AM21" s="36" t="str">
        <f t="shared" si="18"/>
        <v/>
      </c>
      <c r="AN21" s="26">
        <f t="shared" si="27"/>
        <v>877.1</v>
      </c>
      <c r="AO21" s="36" t="str">
        <f t="shared" si="19"/>
        <v/>
      </c>
      <c r="AP21" s="26">
        <f t="shared" si="28"/>
        <v>877.1</v>
      </c>
      <c r="AQ21" s="36" t="str">
        <f t="shared" si="20"/>
        <v/>
      </c>
      <c r="AR21" s="26">
        <f t="shared" si="29"/>
        <v>877.1</v>
      </c>
      <c r="AS21" s="36" t="str">
        <f t="shared" si="21"/>
        <v/>
      </c>
      <c r="AT21" s="99"/>
      <c r="AU21" s="205">
        <f>40*17.9</f>
        <v>716</v>
      </c>
      <c r="AV21" s="205">
        <f>ROUND(17.9*1.5,2)*6</f>
        <v>161.1</v>
      </c>
      <c r="AW21" s="205"/>
      <c r="AX21" s="205">
        <f t="shared" si="30"/>
        <v>877.1</v>
      </c>
      <c r="AY21" s="26">
        <f t="shared" si="31"/>
        <v>54.38</v>
      </c>
      <c r="AZ21" s="26">
        <f t="shared" si="32"/>
        <v>12.72</v>
      </c>
      <c r="BA21" s="53">
        <v>35</v>
      </c>
      <c r="BB21" s="25">
        <f t="shared" si="33"/>
        <v>26.93</v>
      </c>
      <c r="BC21" s="25">
        <f t="shared" si="34"/>
        <v>0.61</v>
      </c>
      <c r="BD21" s="25">
        <f t="shared" si="35"/>
        <v>26.31</v>
      </c>
      <c r="BE21" s="26">
        <v>50</v>
      </c>
      <c r="BF21" s="26">
        <v>0.85</v>
      </c>
      <c r="BG21" s="26">
        <v>1.65</v>
      </c>
      <c r="BH21" s="3">
        <f t="shared" si="22"/>
        <v>668.65</v>
      </c>
      <c r="BI21" s="26">
        <f t="shared" si="36"/>
        <v>877.1</v>
      </c>
      <c r="BJ21" s="26">
        <f t="shared" si="37"/>
        <v>877.1</v>
      </c>
      <c r="BK21" s="26">
        <f t="shared" si="38"/>
        <v>877.1</v>
      </c>
      <c r="BL21" s="26">
        <f t="shared" si="39"/>
        <v>877.1</v>
      </c>
    </row>
    <row r="22" spans="2:64" ht="15">
      <c r="B22" s="18" t="s">
        <v>31</v>
      </c>
      <c r="C22" s="103"/>
      <c r="D22" s="20"/>
      <c r="E22" s="193" t="s">
        <v>9</v>
      </c>
      <c r="F22" s="193">
        <v>2</v>
      </c>
      <c r="G22" s="176">
        <v>40</v>
      </c>
      <c r="H22" s="177">
        <v>19.75</v>
      </c>
      <c r="I22" s="74">
        <f>G22*H22</f>
        <v>790</v>
      </c>
      <c r="J22" s="35" t="str">
        <f t="shared" si="0"/>
        <v/>
      </c>
      <c r="K22" s="78"/>
      <c r="L22" s="94"/>
      <c r="M22" s="74">
        <f t="shared" si="1"/>
        <v>0</v>
      </c>
      <c r="N22" s="35" t="str">
        <f t="shared" si="2"/>
        <v/>
      </c>
      <c r="O22" s="53">
        <f t="shared" si="3"/>
        <v>790</v>
      </c>
      <c r="P22" s="36" t="str">
        <f t="shared" si="4"/>
        <v/>
      </c>
      <c r="Q22" s="26">
        <f t="shared" si="23"/>
        <v>48.98</v>
      </c>
      <c r="R22" s="36" t="str">
        <f t="shared" si="5"/>
        <v/>
      </c>
      <c r="S22" s="26">
        <f t="shared" si="24"/>
        <v>11.46</v>
      </c>
      <c r="T22" s="36" t="str">
        <f t="shared" si="6"/>
        <v/>
      </c>
      <c r="U22" s="53">
        <v>78</v>
      </c>
      <c r="V22" s="36" t="str">
        <f t="shared" si="7"/>
        <v/>
      </c>
      <c r="W22" s="26">
        <f t="shared" si="8"/>
        <v>24.25</v>
      </c>
      <c r="X22" s="36" t="str">
        <f t="shared" si="9"/>
        <v/>
      </c>
      <c r="Y22" s="25">
        <f t="shared" si="25"/>
        <v>0.55000000000000004</v>
      </c>
      <c r="Z22" s="36" t="str">
        <f t="shared" si="10"/>
        <v/>
      </c>
      <c r="AA22" s="26">
        <f t="shared" si="11"/>
        <v>23.7</v>
      </c>
      <c r="AB22" s="36" t="str">
        <f t="shared" si="12"/>
        <v/>
      </c>
      <c r="AC22" s="26">
        <v>20</v>
      </c>
      <c r="AD22" s="36" t="str">
        <f t="shared" si="13"/>
        <v/>
      </c>
      <c r="AE22" s="133">
        <v>0</v>
      </c>
      <c r="AF22" s="36" t="str">
        <f t="shared" si="14"/>
        <v/>
      </c>
      <c r="AG22" s="133">
        <v>1.65</v>
      </c>
      <c r="AH22" s="36" t="str">
        <f t="shared" si="15"/>
        <v/>
      </c>
      <c r="AI22" s="90">
        <v>317</v>
      </c>
      <c r="AJ22" s="178">
        <f t="shared" si="16"/>
        <v>581.41</v>
      </c>
      <c r="AK22" s="36" t="str">
        <f t="shared" si="17"/>
        <v/>
      </c>
      <c r="AL22" s="26">
        <f t="shared" si="26"/>
        <v>790</v>
      </c>
      <c r="AM22" s="36" t="str">
        <f t="shared" si="18"/>
        <v/>
      </c>
      <c r="AN22" s="26">
        <f t="shared" si="27"/>
        <v>790</v>
      </c>
      <c r="AO22" s="36" t="str">
        <f t="shared" si="19"/>
        <v/>
      </c>
      <c r="AP22" s="26">
        <f t="shared" si="28"/>
        <v>790</v>
      </c>
      <c r="AQ22" s="36" t="str">
        <f t="shared" si="20"/>
        <v/>
      </c>
      <c r="AR22" s="26">
        <f t="shared" si="29"/>
        <v>790</v>
      </c>
      <c r="AS22" s="36" t="str">
        <f t="shared" si="21"/>
        <v/>
      </c>
      <c r="AT22" s="99"/>
      <c r="AU22" s="205">
        <f>19.75*40</f>
        <v>790</v>
      </c>
      <c r="AV22" s="205"/>
      <c r="AW22" s="205"/>
      <c r="AX22" s="205">
        <f t="shared" si="30"/>
        <v>790</v>
      </c>
      <c r="AY22" s="26">
        <f t="shared" si="31"/>
        <v>48.98</v>
      </c>
      <c r="AZ22" s="26">
        <f t="shared" si="32"/>
        <v>11.46</v>
      </c>
      <c r="BA22" s="53">
        <v>78</v>
      </c>
      <c r="BB22" s="25">
        <f t="shared" si="33"/>
        <v>24.25</v>
      </c>
      <c r="BC22" s="25">
        <f t="shared" si="34"/>
        <v>0.55000000000000004</v>
      </c>
      <c r="BD22" s="25">
        <f t="shared" si="35"/>
        <v>23.7</v>
      </c>
      <c r="BE22" s="26">
        <v>20</v>
      </c>
      <c r="BF22" s="26">
        <v>0</v>
      </c>
      <c r="BG22" s="26">
        <v>1.65</v>
      </c>
      <c r="BH22" s="3">
        <f t="shared" si="22"/>
        <v>581.41</v>
      </c>
      <c r="BI22" s="26">
        <f t="shared" si="36"/>
        <v>790</v>
      </c>
      <c r="BJ22" s="26">
        <f t="shared" si="37"/>
        <v>790</v>
      </c>
      <c r="BK22" s="26">
        <f t="shared" si="38"/>
        <v>790</v>
      </c>
      <c r="BL22" s="26">
        <f t="shared" si="39"/>
        <v>790</v>
      </c>
    </row>
    <row r="23" spans="2:64" ht="15">
      <c r="B23" s="18" t="s">
        <v>32</v>
      </c>
      <c r="C23" s="103"/>
      <c r="D23" s="20"/>
      <c r="E23" s="193" t="s">
        <v>8</v>
      </c>
      <c r="F23" s="193">
        <v>3</v>
      </c>
      <c r="G23" s="176">
        <v>40</v>
      </c>
      <c r="H23" s="175"/>
      <c r="I23" s="67">
        <v>515</v>
      </c>
      <c r="J23" s="35" t="str">
        <f t="shared" si="0"/>
        <v/>
      </c>
      <c r="K23" s="78">
        <v>1.25</v>
      </c>
      <c r="L23" s="95">
        <f>(ROUND(I23/40,2))*1.5</f>
        <v>19.32</v>
      </c>
      <c r="M23" s="76">
        <f t="shared" si="1"/>
        <v>24.15</v>
      </c>
      <c r="N23" s="35" t="str">
        <f t="shared" si="2"/>
        <v/>
      </c>
      <c r="O23" s="53">
        <f t="shared" si="3"/>
        <v>539.15</v>
      </c>
      <c r="P23" s="36" t="str">
        <f t="shared" si="4"/>
        <v/>
      </c>
      <c r="Q23" s="26">
        <f t="shared" si="23"/>
        <v>33.43</v>
      </c>
      <c r="R23" s="36" t="str">
        <f t="shared" si="5"/>
        <v/>
      </c>
      <c r="S23" s="26">
        <f t="shared" si="24"/>
        <v>7.82</v>
      </c>
      <c r="T23" s="36" t="str">
        <f t="shared" si="6"/>
        <v/>
      </c>
      <c r="U23" s="53">
        <v>10</v>
      </c>
      <c r="V23" s="36" t="str">
        <f t="shared" si="7"/>
        <v/>
      </c>
      <c r="W23" s="26">
        <f t="shared" si="8"/>
        <v>16.55</v>
      </c>
      <c r="X23" s="36" t="str">
        <f t="shared" si="9"/>
        <v/>
      </c>
      <c r="Y23" s="25">
        <f t="shared" si="25"/>
        <v>0.38</v>
      </c>
      <c r="Z23" s="36" t="str">
        <f t="shared" si="10"/>
        <v/>
      </c>
      <c r="AA23" s="26">
        <f t="shared" si="11"/>
        <v>16.170000000000002</v>
      </c>
      <c r="AB23" s="36" t="str">
        <f t="shared" si="12"/>
        <v/>
      </c>
      <c r="AC23" s="26">
        <v>40</v>
      </c>
      <c r="AD23" s="36" t="str">
        <f t="shared" si="13"/>
        <v/>
      </c>
      <c r="AE23" s="133">
        <v>0.85</v>
      </c>
      <c r="AF23" s="36" t="str">
        <f t="shared" si="14"/>
        <v/>
      </c>
      <c r="AG23" s="133">
        <v>1.65</v>
      </c>
      <c r="AH23" s="36" t="str">
        <f t="shared" si="15"/>
        <v/>
      </c>
      <c r="AI23" s="90">
        <v>318</v>
      </c>
      <c r="AJ23" s="178">
        <f t="shared" si="16"/>
        <v>412.3</v>
      </c>
      <c r="AK23" s="36" t="str">
        <f t="shared" si="17"/>
        <v/>
      </c>
      <c r="AL23" s="26">
        <f t="shared" si="26"/>
        <v>539.15</v>
      </c>
      <c r="AM23" s="36" t="str">
        <f t="shared" si="18"/>
        <v/>
      </c>
      <c r="AN23" s="26">
        <f t="shared" si="27"/>
        <v>539.15</v>
      </c>
      <c r="AO23" s="36" t="str">
        <f t="shared" si="19"/>
        <v/>
      </c>
      <c r="AP23" s="26">
        <f t="shared" si="28"/>
        <v>539.15</v>
      </c>
      <c r="AQ23" s="36" t="str">
        <f t="shared" si="20"/>
        <v/>
      </c>
      <c r="AR23" s="26">
        <f t="shared" si="29"/>
        <v>539.15</v>
      </c>
      <c r="AS23" s="36" t="str">
        <f t="shared" si="21"/>
        <v/>
      </c>
      <c r="AT23" s="99"/>
      <c r="AU23" s="205">
        <v>515</v>
      </c>
      <c r="AV23" s="205">
        <f>ROUND(AU23/40,2)*1.5*1.25</f>
        <v>24.15</v>
      </c>
      <c r="AW23" s="205"/>
      <c r="AX23" s="205">
        <f t="shared" si="30"/>
        <v>539.15</v>
      </c>
      <c r="AY23" s="26">
        <f t="shared" si="31"/>
        <v>33.43</v>
      </c>
      <c r="AZ23" s="26">
        <f t="shared" si="32"/>
        <v>7.82</v>
      </c>
      <c r="BA23" s="53">
        <v>10</v>
      </c>
      <c r="BB23" s="25">
        <f t="shared" si="33"/>
        <v>16.55</v>
      </c>
      <c r="BC23" s="25">
        <f t="shared" si="34"/>
        <v>0.38</v>
      </c>
      <c r="BD23" s="25">
        <f t="shared" si="35"/>
        <v>16.170000000000002</v>
      </c>
      <c r="BE23" s="26">
        <v>40</v>
      </c>
      <c r="BF23" s="26">
        <v>0.85</v>
      </c>
      <c r="BG23" s="26">
        <v>1.65</v>
      </c>
      <c r="BH23" s="3">
        <f t="shared" si="22"/>
        <v>412.3</v>
      </c>
      <c r="BI23" s="26">
        <f t="shared" si="36"/>
        <v>539.15</v>
      </c>
      <c r="BJ23" s="26">
        <f t="shared" si="37"/>
        <v>539.15</v>
      </c>
      <c r="BK23" s="26">
        <f t="shared" si="38"/>
        <v>539.15</v>
      </c>
      <c r="BL23" s="26">
        <f t="shared" si="39"/>
        <v>539.15</v>
      </c>
    </row>
    <row r="24" spans="2:64" ht="15">
      <c r="B24" s="18" t="s">
        <v>33</v>
      </c>
      <c r="C24" s="103"/>
      <c r="D24" s="20"/>
      <c r="E24" s="193" t="s">
        <v>8</v>
      </c>
      <c r="F24" s="193">
        <v>6</v>
      </c>
      <c r="G24" s="176">
        <v>40</v>
      </c>
      <c r="H24" s="175"/>
      <c r="I24" s="67">
        <f>ROUND(2700*12/52,2)</f>
        <v>623.08000000000004</v>
      </c>
      <c r="J24" s="35" t="str">
        <f t="shared" si="0"/>
        <v/>
      </c>
      <c r="K24" s="78"/>
      <c r="L24" s="94"/>
      <c r="M24" s="67"/>
      <c r="N24" s="35" t="str">
        <f t="shared" si="2"/>
        <v/>
      </c>
      <c r="O24" s="53">
        <f t="shared" si="3"/>
        <v>623.08000000000004</v>
      </c>
      <c r="P24" s="36" t="str">
        <f t="shared" si="4"/>
        <v/>
      </c>
      <c r="Q24" s="26">
        <f t="shared" si="23"/>
        <v>38.630000000000003</v>
      </c>
      <c r="R24" s="36" t="str">
        <f t="shared" si="5"/>
        <v/>
      </c>
      <c r="S24" s="26">
        <f t="shared" si="24"/>
        <v>9.0299999999999994</v>
      </c>
      <c r="T24" s="36" t="str">
        <f t="shared" si="6"/>
        <v/>
      </c>
      <c r="U24" s="53">
        <v>0</v>
      </c>
      <c r="V24" s="36" t="str">
        <f t="shared" si="7"/>
        <v/>
      </c>
      <c r="W24" s="26">
        <f t="shared" si="8"/>
        <v>19.13</v>
      </c>
      <c r="X24" s="36" t="str">
        <f t="shared" si="9"/>
        <v/>
      </c>
      <c r="Y24" s="25">
        <f t="shared" si="25"/>
        <v>0.44</v>
      </c>
      <c r="Z24" s="36" t="str">
        <f t="shared" si="10"/>
        <v/>
      </c>
      <c r="AA24" s="26">
        <f t="shared" si="11"/>
        <v>18.690000000000001</v>
      </c>
      <c r="AB24" s="36" t="str">
        <f t="shared" si="12"/>
        <v/>
      </c>
      <c r="AC24" s="26">
        <v>50</v>
      </c>
      <c r="AD24" s="36" t="str">
        <f t="shared" si="13"/>
        <v/>
      </c>
      <c r="AE24" s="133">
        <v>0.85</v>
      </c>
      <c r="AF24" s="36" t="str">
        <f t="shared" si="14"/>
        <v/>
      </c>
      <c r="AG24" s="133">
        <v>1.65</v>
      </c>
      <c r="AH24" s="36" t="str">
        <f t="shared" si="15"/>
        <v/>
      </c>
      <c r="AI24" s="90">
        <v>319</v>
      </c>
      <c r="AJ24" s="178">
        <f t="shared" si="16"/>
        <v>484.66</v>
      </c>
      <c r="AK24" s="36" t="str">
        <f t="shared" si="17"/>
        <v/>
      </c>
      <c r="AL24" s="26">
        <f t="shared" si="26"/>
        <v>623.08000000000004</v>
      </c>
      <c r="AM24" s="36" t="str">
        <f t="shared" si="18"/>
        <v/>
      </c>
      <c r="AN24" s="26">
        <f t="shared" si="27"/>
        <v>623.08000000000004</v>
      </c>
      <c r="AO24" s="36" t="str">
        <f t="shared" si="19"/>
        <v/>
      </c>
      <c r="AP24" s="26">
        <f t="shared" si="28"/>
        <v>623.08000000000004</v>
      </c>
      <c r="AQ24" s="36" t="str">
        <f t="shared" si="20"/>
        <v/>
      </c>
      <c r="AR24" s="26">
        <f t="shared" si="29"/>
        <v>623.08000000000004</v>
      </c>
      <c r="AS24" s="36" t="str">
        <f t="shared" si="21"/>
        <v/>
      </c>
      <c r="AT24" s="99"/>
      <c r="AU24" s="205">
        <f>ROUND(2700*12/52,2)</f>
        <v>623.08000000000004</v>
      </c>
      <c r="AV24" s="205"/>
      <c r="AW24" s="205"/>
      <c r="AX24" s="205">
        <f t="shared" si="30"/>
        <v>623.08000000000004</v>
      </c>
      <c r="AY24" s="26">
        <f t="shared" si="31"/>
        <v>38.630000000000003</v>
      </c>
      <c r="AZ24" s="26">
        <f t="shared" si="32"/>
        <v>9.0299999999999994</v>
      </c>
      <c r="BA24" s="53"/>
      <c r="BB24" s="25">
        <f t="shared" si="33"/>
        <v>19.13</v>
      </c>
      <c r="BC24" s="25">
        <f t="shared" si="34"/>
        <v>0.44</v>
      </c>
      <c r="BD24" s="25">
        <f t="shared" si="35"/>
        <v>18.690000000000001</v>
      </c>
      <c r="BE24" s="26">
        <v>50</v>
      </c>
      <c r="BF24" s="26">
        <v>0.85</v>
      </c>
      <c r="BG24" s="26">
        <v>1.65</v>
      </c>
      <c r="BH24" s="3">
        <f t="shared" si="22"/>
        <v>484.66</v>
      </c>
      <c r="BI24" s="26">
        <f t="shared" si="36"/>
        <v>623.08000000000004</v>
      </c>
      <c r="BJ24" s="26">
        <f t="shared" si="37"/>
        <v>623.08000000000004</v>
      </c>
      <c r="BK24" s="26">
        <f t="shared" si="38"/>
        <v>623.08000000000004</v>
      </c>
      <c r="BL24" s="26">
        <f t="shared" si="39"/>
        <v>623.08000000000004</v>
      </c>
    </row>
    <row r="25" spans="2:64" ht="15">
      <c r="B25" s="18" t="s">
        <v>34</v>
      </c>
      <c r="C25" s="103"/>
      <c r="D25" s="20"/>
      <c r="E25" s="193" t="s">
        <v>9</v>
      </c>
      <c r="F25" s="193">
        <v>1</v>
      </c>
      <c r="G25" s="176">
        <v>40</v>
      </c>
      <c r="H25" s="175"/>
      <c r="I25" s="67">
        <f>ROUND(3350*12/52,2)</f>
        <v>773.08</v>
      </c>
      <c r="J25" s="35" t="str">
        <f t="shared" si="0"/>
        <v/>
      </c>
      <c r="K25" s="78"/>
      <c r="L25" s="94"/>
      <c r="M25" s="67"/>
      <c r="N25" s="35" t="str">
        <f t="shared" si="2"/>
        <v/>
      </c>
      <c r="O25" s="53">
        <f t="shared" si="3"/>
        <v>773.08</v>
      </c>
      <c r="P25" s="36" t="str">
        <f t="shared" si="4"/>
        <v/>
      </c>
      <c r="Q25" s="26">
        <f t="shared" si="23"/>
        <v>47.93</v>
      </c>
      <c r="R25" s="36" t="str">
        <f t="shared" si="5"/>
        <v/>
      </c>
      <c r="S25" s="26">
        <f t="shared" si="24"/>
        <v>11.21</v>
      </c>
      <c r="T25" s="36" t="str">
        <f t="shared" si="6"/>
        <v/>
      </c>
      <c r="U25" s="53">
        <v>80</v>
      </c>
      <c r="V25" s="36" t="str">
        <f t="shared" si="7"/>
        <v/>
      </c>
      <c r="W25" s="26">
        <f t="shared" si="8"/>
        <v>23.73</v>
      </c>
      <c r="X25" s="36" t="str">
        <f t="shared" si="9"/>
        <v/>
      </c>
      <c r="Y25" s="25">
        <f t="shared" si="25"/>
        <v>0.54</v>
      </c>
      <c r="Z25" s="36" t="str">
        <f t="shared" si="10"/>
        <v/>
      </c>
      <c r="AA25" s="26">
        <f t="shared" si="11"/>
        <v>23.19</v>
      </c>
      <c r="AB25" s="36" t="str">
        <f t="shared" si="12"/>
        <v/>
      </c>
      <c r="AC25" s="26">
        <v>60</v>
      </c>
      <c r="AD25" s="36" t="str">
        <f t="shared" si="13"/>
        <v/>
      </c>
      <c r="AE25" s="133">
        <v>0</v>
      </c>
      <c r="AF25" s="36" t="str">
        <f t="shared" si="14"/>
        <v/>
      </c>
      <c r="AG25" s="133">
        <v>1.65</v>
      </c>
      <c r="AH25" s="36" t="str">
        <f t="shared" si="15"/>
        <v/>
      </c>
      <c r="AI25" s="90">
        <v>320</v>
      </c>
      <c r="AJ25" s="178">
        <f t="shared" si="16"/>
        <v>524.83000000000004</v>
      </c>
      <c r="AK25" s="36" t="str">
        <f t="shared" si="17"/>
        <v/>
      </c>
      <c r="AL25" s="26">
        <f t="shared" si="26"/>
        <v>773.08</v>
      </c>
      <c r="AM25" s="36" t="str">
        <f t="shared" si="18"/>
        <v/>
      </c>
      <c r="AN25" s="26">
        <f t="shared" si="27"/>
        <v>773.08</v>
      </c>
      <c r="AO25" s="36" t="str">
        <f t="shared" si="19"/>
        <v/>
      </c>
      <c r="AP25" s="26">
        <f t="shared" si="28"/>
        <v>773.08</v>
      </c>
      <c r="AQ25" s="36" t="str">
        <f t="shared" si="20"/>
        <v/>
      </c>
      <c r="AR25" s="26">
        <f t="shared" si="29"/>
        <v>773.08</v>
      </c>
      <c r="AS25" s="36" t="str">
        <f t="shared" si="21"/>
        <v/>
      </c>
      <c r="AT25" s="99"/>
      <c r="AU25" s="205">
        <f>ROUND(3350*12/52,2)</f>
        <v>773.08</v>
      </c>
      <c r="AV25" s="205"/>
      <c r="AW25" s="205"/>
      <c r="AX25" s="205">
        <f t="shared" si="30"/>
        <v>773.08</v>
      </c>
      <c r="AY25" s="26">
        <f t="shared" si="31"/>
        <v>47.93</v>
      </c>
      <c r="AZ25" s="26">
        <f t="shared" si="32"/>
        <v>11.21</v>
      </c>
      <c r="BA25" s="53">
        <v>80</v>
      </c>
      <c r="BB25" s="25">
        <f t="shared" si="33"/>
        <v>23.73</v>
      </c>
      <c r="BC25" s="25">
        <f t="shared" si="34"/>
        <v>0.54</v>
      </c>
      <c r="BD25" s="25">
        <f t="shared" si="35"/>
        <v>23.19</v>
      </c>
      <c r="BE25" s="26">
        <v>60</v>
      </c>
      <c r="BF25" s="26">
        <v>0</v>
      </c>
      <c r="BG25" s="26">
        <v>1.65</v>
      </c>
      <c r="BH25" s="3">
        <f t="shared" si="22"/>
        <v>524.83000000000004</v>
      </c>
      <c r="BI25" s="26">
        <f t="shared" si="36"/>
        <v>773.08</v>
      </c>
      <c r="BJ25" s="26">
        <f t="shared" si="37"/>
        <v>773.08</v>
      </c>
      <c r="BK25" s="26">
        <f t="shared" si="38"/>
        <v>773.08</v>
      </c>
      <c r="BL25" s="26">
        <f t="shared" si="39"/>
        <v>773.08</v>
      </c>
    </row>
    <row r="26" spans="2:64" ht="15">
      <c r="B26" s="18" t="s">
        <v>35</v>
      </c>
      <c r="C26" s="103"/>
      <c r="D26" s="20"/>
      <c r="E26" s="193" t="s">
        <v>8</v>
      </c>
      <c r="F26" s="193">
        <v>5</v>
      </c>
      <c r="G26" s="176">
        <v>40</v>
      </c>
      <c r="H26" s="175"/>
      <c r="I26" s="67">
        <f>ROUND(2510*12/52,2)</f>
        <v>579.23</v>
      </c>
      <c r="J26" s="35" t="str">
        <f t="shared" si="0"/>
        <v/>
      </c>
      <c r="K26" s="78">
        <v>4</v>
      </c>
      <c r="L26" s="94">
        <f>(ROUND(I26/40,2))*1.5</f>
        <v>21.72</v>
      </c>
      <c r="M26" s="74">
        <f>K26*L26</f>
        <v>86.88</v>
      </c>
      <c r="N26" s="35" t="str">
        <f t="shared" si="2"/>
        <v/>
      </c>
      <c r="O26" s="53">
        <f t="shared" si="3"/>
        <v>666.11</v>
      </c>
      <c r="P26" s="36" t="str">
        <f t="shared" si="4"/>
        <v/>
      </c>
      <c r="Q26" s="26">
        <f t="shared" si="23"/>
        <v>41.3</v>
      </c>
      <c r="R26" s="36" t="str">
        <f t="shared" si="5"/>
        <v/>
      </c>
      <c r="S26" s="26">
        <f t="shared" si="24"/>
        <v>9.66</v>
      </c>
      <c r="T26" s="36" t="str">
        <f t="shared" si="6"/>
        <v/>
      </c>
      <c r="U26" s="53">
        <v>9</v>
      </c>
      <c r="V26" s="36" t="str">
        <f t="shared" si="7"/>
        <v/>
      </c>
      <c r="W26" s="26">
        <f t="shared" si="8"/>
        <v>20.45</v>
      </c>
      <c r="X26" s="36" t="str">
        <f t="shared" si="9"/>
        <v/>
      </c>
      <c r="Y26" s="25">
        <f t="shared" si="25"/>
        <v>0.47</v>
      </c>
      <c r="Z26" s="36" t="str">
        <f t="shared" si="10"/>
        <v/>
      </c>
      <c r="AA26" s="26">
        <f t="shared" si="11"/>
        <v>19.98</v>
      </c>
      <c r="AB26" s="36" t="str">
        <f t="shared" si="12"/>
        <v/>
      </c>
      <c r="AC26" s="26">
        <v>30</v>
      </c>
      <c r="AD26" s="36" t="str">
        <f t="shared" si="13"/>
        <v/>
      </c>
      <c r="AE26" s="133">
        <v>0.85</v>
      </c>
      <c r="AF26" s="36" t="str">
        <f t="shared" si="14"/>
        <v/>
      </c>
      <c r="AG26" s="133">
        <v>1.65</v>
      </c>
      <c r="AH26" s="36" t="str">
        <f t="shared" si="15"/>
        <v/>
      </c>
      <c r="AI26" s="90">
        <v>321</v>
      </c>
      <c r="AJ26" s="178">
        <f t="shared" si="16"/>
        <v>532.75</v>
      </c>
      <c r="AK26" s="36" t="str">
        <f t="shared" si="17"/>
        <v/>
      </c>
      <c r="AL26" s="26">
        <f t="shared" si="26"/>
        <v>666.11</v>
      </c>
      <c r="AM26" s="36" t="str">
        <f t="shared" si="18"/>
        <v/>
      </c>
      <c r="AN26" s="26">
        <f t="shared" si="27"/>
        <v>666.11</v>
      </c>
      <c r="AO26" s="36" t="str">
        <f t="shared" si="19"/>
        <v/>
      </c>
      <c r="AP26" s="26">
        <f t="shared" si="28"/>
        <v>666.11</v>
      </c>
      <c r="AQ26" s="36" t="str">
        <f t="shared" si="20"/>
        <v/>
      </c>
      <c r="AR26" s="26">
        <f t="shared" si="29"/>
        <v>666.11</v>
      </c>
      <c r="AS26" s="36" t="str">
        <f t="shared" si="21"/>
        <v/>
      </c>
      <c r="AT26" s="99"/>
      <c r="AU26" s="205">
        <f>ROUND(2510*12/52,2)</f>
        <v>579.23</v>
      </c>
      <c r="AV26" s="205">
        <f>ROUND(AU26/40,2)*1.5*4</f>
        <v>86.88</v>
      </c>
      <c r="AW26" s="205"/>
      <c r="AX26" s="205">
        <f t="shared" si="30"/>
        <v>666.11</v>
      </c>
      <c r="AY26" s="26">
        <f t="shared" si="31"/>
        <v>41.3</v>
      </c>
      <c r="AZ26" s="26">
        <f t="shared" si="32"/>
        <v>9.66</v>
      </c>
      <c r="BA26" s="53">
        <v>9</v>
      </c>
      <c r="BB26" s="25">
        <f t="shared" si="33"/>
        <v>20.45</v>
      </c>
      <c r="BC26" s="25">
        <f t="shared" si="34"/>
        <v>0.47</v>
      </c>
      <c r="BD26" s="25">
        <f t="shared" si="35"/>
        <v>19.98</v>
      </c>
      <c r="BE26" s="26">
        <v>30</v>
      </c>
      <c r="BF26" s="26">
        <v>0.85</v>
      </c>
      <c r="BG26" s="26">
        <v>1.65</v>
      </c>
      <c r="BH26" s="3">
        <f t="shared" si="22"/>
        <v>532.75</v>
      </c>
      <c r="BI26" s="26">
        <f t="shared" si="36"/>
        <v>666.11</v>
      </c>
      <c r="BJ26" s="26">
        <f t="shared" si="37"/>
        <v>666.11</v>
      </c>
      <c r="BK26" s="26">
        <f t="shared" si="38"/>
        <v>666.11</v>
      </c>
      <c r="BL26" s="26">
        <f t="shared" si="39"/>
        <v>666.11</v>
      </c>
    </row>
    <row r="27" spans="2:64" ht="15">
      <c r="B27" s="18" t="s">
        <v>36</v>
      </c>
      <c r="C27" s="103"/>
      <c r="D27" s="20"/>
      <c r="E27" s="193" t="s">
        <v>8</v>
      </c>
      <c r="F27" s="193">
        <v>7</v>
      </c>
      <c r="G27" s="176">
        <v>40</v>
      </c>
      <c r="H27" s="175"/>
      <c r="I27" s="69">
        <f>ROUND(52000/52,2)</f>
        <v>1000</v>
      </c>
      <c r="J27" s="35" t="str">
        <f t="shared" si="0"/>
        <v/>
      </c>
      <c r="K27" s="79"/>
      <c r="L27" s="79"/>
      <c r="M27" s="69"/>
      <c r="N27" s="35" t="str">
        <f t="shared" si="2"/>
        <v/>
      </c>
      <c r="O27" s="53">
        <f t="shared" si="3"/>
        <v>1000</v>
      </c>
      <c r="P27" s="47" t="str">
        <f t="shared" si="4"/>
        <v/>
      </c>
      <c r="Q27" s="26">
        <f t="shared" si="23"/>
        <v>62</v>
      </c>
      <c r="R27" s="5" t="str">
        <f t="shared" si="5"/>
        <v/>
      </c>
      <c r="S27" s="26">
        <f t="shared" si="24"/>
        <v>14.5</v>
      </c>
      <c r="T27" s="36" t="str">
        <f t="shared" si="6"/>
        <v/>
      </c>
      <c r="U27" s="51">
        <v>22</v>
      </c>
      <c r="V27" s="50" t="str">
        <f t="shared" si="7"/>
        <v/>
      </c>
      <c r="W27" s="26">
        <f t="shared" si="8"/>
        <v>30.7</v>
      </c>
      <c r="X27" s="36" t="str">
        <f t="shared" si="9"/>
        <v/>
      </c>
      <c r="Y27" s="25">
        <f t="shared" si="25"/>
        <v>0.7</v>
      </c>
      <c r="Z27" s="61" t="str">
        <f t="shared" si="10"/>
        <v/>
      </c>
      <c r="AA27" s="38">
        <f t="shared" si="11"/>
        <v>30</v>
      </c>
      <c r="AB27" s="36" t="str">
        <f t="shared" si="12"/>
        <v/>
      </c>
      <c r="AC27" s="38">
        <v>80</v>
      </c>
      <c r="AD27" s="36" t="str">
        <f t="shared" si="13"/>
        <v/>
      </c>
      <c r="AE27" s="146">
        <v>0.85</v>
      </c>
      <c r="AF27" s="61" t="str">
        <f t="shared" si="14"/>
        <v/>
      </c>
      <c r="AG27" s="146">
        <v>1.65</v>
      </c>
      <c r="AH27" s="61" t="str">
        <f t="shared" si="15"/>
        <v/>
      </c>
      <c r="AI27" s="90">
        <v>322</v>
      </c>
      <c r="AJ27" s="178">
        <f t="shared" si="16"/>
        <v>757.6</v>
      </c>
      <c r="AK27" s="36" t="str">
        <f t="shared" si="17"/>
        <v/>
      </c>
      <c r="AL27" s="38">
        <f t="shared" si="26"/>
        <v>1000</v>
      </c>
      <c r="AM27" s="61" t="str">
        <f t="shared" si="18"/>
        <v/>
      </c>
      <c r="AN27" s="62">
        <f t="shared" si="27"/>
        <v>1000</v>
      </c>
      <c r="AO27" s="61" t="str">
        <f t="shared" si="19"/>
        <v/>
      </c>
      <c r="AP27" s="38">
        <f t="shared" si="28"/>
        <v>1000</v>
      </c>
      <c r="AQ27" s="36" t="str">
        <f t="shared" si="20"/>
        <v/>
      </c>
      <c r="AR27" s="38">
        <f t="shared" si="29"/>
        <v>1000</v>
      </c>
      <c r="AS27" s="36" t="str">
        <f t="shared" si="21"/>
        <v/>
      </c>
      <c r="AT27" s="99"/>
      <c r="AU27" s="205">
        <f>ROUND(52000/52,2)</f>
        <v>1000</v>
      </c>
      <c r="AV27" s="205"/>
      <c r="AW27" s="205"/>
      <c r="AX27" s="205">
        <f t="shared" si="30"/>
        <v>1000</v>
      </c>
      <c r="AY27" s="26">
        <f t="shared" si="31"/>
        <v>62</v>
      </c>
      <c r="AZ27" s="26">
        <f t="shared" si="32"/>
        <v>14.5</v>
      </c>
      <c r="BA27" s="51">
        <v>22</v>
      </c>
      <c r="BB27" s="25">
        <f t="shared" si="33"/>
        <v>30.7</v>
      </c>
      <c r="BC27" s="25">
        <f t="shared" si="34"/>
        <v>0.7</v>
      </c>
      <c r="BD27" s="25">
        <f t="shared" si="35"/>
        <v>30</v>
      </c>
      <c r="BE27" s="38">
        <v>80</v>
      </c>
      <c r="BF27" s="38">
        <v>0.85</v>
      </c>
      <c r="BG27" s="38">
        <v>1.65</v>
      </c>
      <c r="BH27" s="3">
        <f t="shared" si="22"/>
        <v>757.6</v>
      </c>
      <c r="BI27" s="38">
        <f t="shared" si="36"/>
        <v>1000</v>
      </c>
      <c r="BJ27" s="62">
        <f t="shared" si="37"/>
        <v>1000</v>
      </c>
      <c r="BK27" s="62">
        <f t="shared" si="38"/>
        <v>1000</v>
      </c>
      <c r="BL27" s="62">
        <f t="shared" si="39"/>
        <v>1000</v>
      </c>
    </row>
    <row r="28" spans="2:64" ht="13" customHeight="1" thickBot="1">
      <c r="B28" s="18" t="s">
        <v>14</v>
      </c>
      <c r="C28" s="103"/>
      <c r="D28" s="20"/>
      <c r="E28" s="19"/>
      <c r="F28" s="19"/>
      <c r="G28" s="65"/>
      <c r="H28" s="19"/>
      <c r="I28" s="70">
        <f>SUM(I18:I27)</f>
        <v>7065.14</v>
      </c>
      <c r="J28" s="37" t="str">
        <f t="shared" si="0"/>
        <v/>
      </c>
      <c r="K28" s="100"/>
      <c r="L28" s="101"/>
      <c r="M28" s="70">
        <f>SUM(M18:M27)</f>
        <v>479.17</v>
      </c>
      <c r="N28" s="37" t="str">
        <f t="shared" si="2"/>
        <v/>
      </c>
      <c r="O28" s="70">
        <f>SUM(O18:O27)</f>
        <v>7544.31</v>
      </c>
      <c r="P28" s="37" t="str">
        <f t="shared" si="4"/>
        <v/>
      </c>
      <c r="Q28" s="70">
        <f>SUM(Q18:Q27)</f>
        <v>467.75</v>
      </c>
      <c r="R28" s="37" t="str">
        <f t="shared" si="5"/>
        <v/>
      </c>
      <c r="S28" s="70">
        <f>SUM(S18:S27)</f>
        <v>109.4</v>
      </c>
      <c r="T28" s="37" t="str">
        <f t="shared" si="6"/>
        <v/>
      </c>
      <c r="U28" s="70">
        <f>SUM(U18:U27)</f>
        <v>461</v>
      </c>
      <c r="V28" s="37" t="str">
        <f t="shared" si="7"/>
        <v/>
      </c>
      <c r="W28" s="70">
        <f>SUM(W18:W27)</f>
        <v>231.61</v>
      </c>
      <c r="X28" s="37" t="str">
        <f t="shared" si="9"/>
        <v/>
      </c>
      <c r="Y28" s="70">
        <f>SUM(Y18:Y27)</f>
        <v>5.29</v>
      </c>
      <c r="Z28" s="37" t="str">
        <f t="shared" si="10"/>
        <v/>
      </c>
      <c r="AA28" s="70">
        <f>SUM(AA18:AA27)</f>
        <v>226.31</v>
      </c>
      <c r="AB28" s="37" t="str">
        <f t="shared" si="12"/>
        <v/>
      </c>
      <c r="AC28" s="70">
        <f>SUM(AC18:AC27)</f>
        <v>440</v>
      </c>
      <c r="AD28" s="37" t="str">
        <f t="shared" si="13"/>
        <v/>
      </c>
      <c r="AE28" s="122">
        <f>SUM(AE18:AE27)</f>
        <v>6.8</v>
      </c>
      <c r="AF28" s="37" t="str">
        <f t="shared" si="14"/>
        <v/>
      </c>
      <c r="AG28" s="122">
        <f>SUM(AG18:AG27)</f>
        <v>16.5</v>
      </c>
      <c r="AH28" s="37" t="str">
        <f t="shared" si="15"/>
        <v/>
      </c>
      <c r="AI28" s="91"/>
      <c r="AJ28" s="122">
        <f>SUM(AJ18:AJ27)</f>
        <v>5579.65</v>
      </c>
      <c r="AK28" s="37" t="str">
        <f t="shared" si="17"/>
        <v/>
      </c>
      <c r="AL28" s="70">
        <f>SUM(AL18:AL27)</f>
        <v>7544.31</v>
      </c>
      <c r="AM28" s="37" t="str">
        <f t="shared" si="18"/>
        <v/>
      </c>
      <c r="AN28" s="70">
        <f>SUM(AN18:AN27)</f>
        <v>7544.31</v>
      </c>
      <c r="AO28" s="37" t="str">
        <f t="shared" si="19"/>
        <v/>
      </c>
      <c r="AP28" s="70">
        <f>SUM(AP18:AP27)</f>
        <v>7544.31</v>
      </c>
      <c r="AQ28" s="37" t="str">
        <f t="shared" si="20"/>
        <v/>
      </c>
      <c r="AR28" s="70">
        <f>SUM(AR18:AR27)</f>
        <v>7544.31</v>
      </c>
      <c r="AS28" s="37" t="str">
        <f t="shared" si="21"/>
        <v/>
      </c>
      <c r="AT28" s="99"/>
      <c r="AU28" s="70">
        <f>SUM(AU18:AU27)</f>
        <v>7065.14</v>
      </c>
      <c r="AV28" s="70">
        <f>SUM(AV18:AV27)</f>
        <v>479.17</v>
      </c>
      <c r="AW28" s="48"/>
      <c r="AX28" s="70">
        <f t="shared" ref="AX28:BL28" si="40">SUM(AX18:AX27)</f>
        <v>7544.31</v>
      </c>
      <c r="AY28" s="70">
        <f t="shared" si="40"/>
        <v>467.75</v>
      </c>
      <c r="AZ28" s="70">
        <f t="shared" si="40"/>
        <v>109.4</v>
      </c>
      <c r="BA28" s="70">
        <f t="shared" si="40"/>
        <v>461</v>
      </c>
      <c r="BB28" s="70">
        <f t="shared" si="40"/>
        <v>231.61</v>
      </c>
      <c r="BC28" s="70">
        <f t="shared" si="40"/>
        <v>5.29</v>
      </c>
      <c r="BD28" s="70">
        <f t="shared" si="40"/>
        <v>226.31</v>
      </c>
      <c r="BE28" s="70">
        <f t="shared" si="40"/>
        <v>440</v>
      </c>
      <c r="BF28" s="70">
        <f t="shared" si="40"/>
        <v>6.8</v>
      </c>
      <c r="BG28" s="70">
        <f t="shared" si="40"/>
        <v>16.5</v>
      </c>
      <c r="BH28" s="70">
        <f t="shared" si="40"/>
        <v>5579.65</v>
      </c>
      <c r="BI28" s="70">
        <f t="shared" si="40"/>
        <v>7544.31</v>
      </c>
      <c r="BJ28" s="70">
        <f t="shared" si="40"/>
        <v>7544.31</v>
      </c>
      <c r="BK28" s="70">
        <f t="shared" si="40"/>
        <v>7544.31</v>
      </c>
      <c r="BL28" s="70">
        <f t="shared" si="40"/>
        <v>7544.31</v>
      </c>
    </row>
    <row r="29" spans="2:64" ht="13" thickTop="1"/>
    <row r="31" spans="2:64" ht="13" customHeight="1">
      <c r="D31" s="211" t="s">
        <v>25</v>
      </c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</row>
    <row r="32" spans="2:64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4:57" ht="13">
      <c r="D33" s="58"/>
      <c r="E33" s="213" t="s">
        <v>22</v>
      </c>
      <c r="F33" s="213"/>
      <c r="G33" s="58"/>
      <c r="H33" s="213" t="s">
        <v>21</v>
      </c>
      <c r="I33" s="213"/>
      <c r="J33" s="213"/>
      <c r="K33" s="213"/>
      <c r="L33" s="57"/>
      <c r="M33" s="58" t="s">
        <v>23</v>
      </c>
      <c r="N33" s="57"/>
      <c r="O33" s="58" t="s">
        <v>24</v>
      </c>
      <c r="P33" s="57"/>
      <c r="S33" s="4"/>
      <c r="T33" s="4"/>
      <c r="U33" s="105" t="s">
        <v>96</v>
      </c>
      <c r="V33" s="4"/>
      <c r="W33" s="4"/>
      <c r="X33" s="4"/>
      <c r="Y33" s="105" t="s">
        <v>93</v>
      </c>
      <c r="Z33" s="4"/>
    </row>
    <row r="34" spans="4:57" ht="13">
      <c r="D34" s="4"/>
      <c r="E34" s="4" t="s">
        <v>20</v>
      </c>
      <c r="F34" s="4"/>
      <c r="G34" s="4"/>
      <c r="H34" s="214"/>
      <c r="I34" s="214"/>
      <c r="J34" s="214"/>
      <c r="K34" s="214"/>
      <c r="L34" s="4"/>
      <c r="M34" s="4"/>
      <c r="N34" s="4"/>
      <c r="O34" s="4"/>
      <c r="P34" s="4"/>
      <c r="S34" s="4"/>
      <c r="T34" s="4"/>
      <c r="U34" s="105" t="s">
        <v>97</v>
      </c>
      <c r="V34" s="4"/>
      <c r="W34" s="105" t="s">
        <v>98</v>
      </c>
      <c r="X34" s="4"/>
      <c r="Y34" s="105" t="s">
        <v>100</v>
      </c>
      <c r="Z34" s="4"/>
    </row>
    <row r="35" spans="4:57" ht="15.5">
      <c r="D35" s="4"/>
      <c r="E35" s="208" t="s">
        <v>70</v>
      </c>
      <c r="F35" s="209"/>
      <c r="G35" s="4" t="s">
        <v>53</v>
      </c>
      <c r="H35" s="4"/>
      <c r="I35" s="4"/>
      <c r="J35" s="4"/>
      <c r="K35" s="4"/>
      <c r="L35" s="39"/>
      <c r="M35" s="163">
        <f>O28</f>
        <v>7544.31</v>
      </c>
      <c r="N35" s="39" t="str">
        <f>IF(OR(M35="",M35=AV35),"","*")</f>
        <v/>
      </c>
      <c r="O35" s="4"/>
      <c r="P35" s="4"/>
      <c r="S35" s="4" t="s">
        <v>99</v>
      </c>
      <c r="T35" s="4"/>
      <c r="U35" s="185">
        <f>AP28</f>
        <v>7544.31</v>
      </c>
      <c r="V35" s="159" t="str">
        <f>IF(OR(U35="",U35=BC39),"","*")</f>
        <v/>
      </c>
      <c r="W35" s="186">
        <v>6.0000000000000001E-3</v>
      </c>
      <c r="X35" s="155" t="str">
        <f>IF(OR(W35="",W35=BD39),"","*")</f>
        <v/>
      </c>
      <c r="Y35" s="185">
        <f>U35*W35</f>
        <v>45.27</v>
      </c>
      <c r="Z35" s="155" t="str">
        <f>IF(OR(Y35="",Y35=BE39),"","*")</f>
        <v/>
      </c>
      <c r="AV35" s="56">
        <f>AX28</f>
        <v>7544.31</v>
      </c>
      <c r="AX35" s="4"/>
    </row>
    <row r="36" spans="4:57" ht="15">
      <c r="D36" s="4"/>
      <c r="E36" s="208"/>
      <c r="F36" s="209"/>
      <c r="G36" s="59"/>
      <c r="H36" s="4" t="s">
        <v>54</v>
      </c>
      <c r="I36" s="4"/>
      <c r="J36" s="4"/>
      <c r="K36" s="4"/>
      <c r="L36" s="39"/>
      <c r="M36" s="4"/>
      <c r="N36" s="39" t="s">
        <v>52</v>
      </c>
      <c r="O36" s="163">
        <f>Q28</f>
        <v>467.75</v>
      </c>
      <c r="P36" s="39" t="str">
        <f t="shared" ref="P36:P45" si="41">IF(OR(O36="",O36=AX36),"","*")</f>
        <v/>
      </c>
      <c r="S36" s="4"/>
      <c r="T36" s="4"/>
      <c r="U36" s="160"/>
      <c r="V36" s="4"/>
      <c r="W36" s="160"/>
      <c r="X36" s="4"/>
      <c r="Y36" s="161" t="s">
        <v>101</v>
      </c>
      <c r="Z36" s="4"/>
      <c r="AV36" s="4"/>
      <c r="AX36" s="56">
        <f>AY28</f>
        <v>467.75</v>
      </c>
    </row>
    <row r="37" spans="4:57" ht="15.5">
      <c r="D37" s="4"/>
      <c r="E37" s="4"/>
      <c r="F37" s="4"/>
      <c r="G37" s="59"/>
      <c r="H37" s="4" t="s">
        <v>55</v>
      </c>
      <c r="I37" s="4"/>
      <c r="J37" s="4"/>
      <c r="K37" s="4"/>
      <c r="L37" s="39"/>
      <c r="M37" s="4"/>
      <c r="N37" s="39" t="s">
        <v>52</v>
      </c>
      <c r="O37" s="163">
        <f>S28</f>
        <v>109.4</v>
      </c>
      <c r="P37" s="39" t="str">
        <f t="shared" si="41"/>
        <v/>
      </c>
      <c r="S37" s="4" t="s">
        <v>16</v>
      </c>
      <c r="T37" s="4"/>
      <c r="U37" s="185">
        <f>AR28</f>
        <v>7544.31</v>
      </c>
      <c r="V37" s="155" t="str">
        <f>IF(OR(U37="",U37=BC41),"","*")</f>
        <v/>
      </c>
      <c r="W37" s="199">
        <v>3.6784999999999998E-2</v>
      </c>
      <c r="X37" s="155" t="str">
        <f>IF(OR(W37="",W37=BD41),"","*")</f>
        <v/>
      </c>
      <c r="Y37" s="185">
        <f>U37*W37</f>
        <v>277.52</v>
      </c>
      <c r="Z37" s="155" t="str">
        <f>IF(OR(Y37="",Y37=BE41),"","*")</f>
        <v/>
      </c>
      <c r="AV37" s="4"/>
      <c r="AX37" s="56">
        <f>AZ28</f>
        <v>109.4</v>
      </c>
      <c r="BC37" s="140" t="s">
        <v>96</v>
      </c>
    </row>
    <row r="38" spans="4:57" ht="15">
      <c r="D38" s="4"/>
      <c r="E38" s="4"/>
      <c r="F38" s="4"/>
      <c r="G38" s="59"/>
      <c r="H38" s="4" t="s">
        <v>56</v>
      </c>
      <c r="I38" s="4"/>
      <c r="J38" s="4"/>
      <c r="K38" s="4"/>
      <c r="L38" s="39"/>
      <c r="M38" s="4"/>
      <c r="N38" s="39" t="s">
        <v>52</v>
      </c>
      <c r="O38" s="163">
        <f>U28</f>
        <v>461</v>
      </c>
      <c r="P38" s="39" t="str">
        <f t="shared" si="41"/>
        <v/>
      </c>
      <c r="AV38" s="4"/>
      <c r="AX38" s="56">
        <f>BA28</f>
        <v>461</v>
      </c>
      <c r="BC38" s="140" t="s">
        <v>102</v>
      </c>
      <c r="BD38" s="140" t="s">
        <v>98</v>
      </c>
      <c r="BE38" s="140" t="s">
        <v>99</v>
      </c>
    </row>
    <row r="39" spans="4:57" ht="15">
      <c r="D39" s="4"/>
      <c r="E39" s="4"/>
      <c r="F39" s="4"/>
      <c r="G39" s="4"/>
      <c r="H39" s="4" t="s">
        <v>57</v>
      </c>
      <c r="I39" s="4"/>
      <c r="J39" s="4"/>
      <c r="K39" s="4"/>
      <c r="L39" s="39"/>
      <c r="M39" s="4"/>
      <c r="N39" s="4"/>
      <c r="O39" s="163">
        <f>W28</f>
        <v>231.61</v>
      </c>
      <c r="P39" s="39" t="str">
        <f t="shared" si="41"/>
        <v/>
      </c>
      <c r="AV39" s="4"/>
      <c r="AX39" s="56">
        <f>BB28</f>
        <v>231.61</v>
      </c>
      <c r="BC39" s="158">
        <f>BK28</f>
        <v>7544.31</v>
      </c>
      <c r="BD39">
        <f>BK15</f>
        <v>6.0000000000000001E-3</v>
      </c>
      <c r="BE39" s="158">
        <f>BC39*BD39</f>
        <v>45.27</v>
      </c>
    </row>
    <row r="40" spans="4:57" ht="15">
      <c r="D40" s="4"/>
      <c r="E40" s="208"/>
      <c r="F40" s="209"/>
      <c r="G40" s="59"/>
      <c r="H40" s="4" t="s">
        <v>58</v>
      </c>
      <c r="I40" s="4"/>
      <c r="J40" s="4"/>
      <c r="K40" s="4"/>
      <c r="L40" s="39"/>
      <c r="M40" s="4"/>
      <c r="N40" s="39" t="s">
        <v>52</v>
      </c>
      <c r="O40" s="163">
        <f>Y28</f>
        <v>5.29</v>
      </c>
      <c r="P40" s="39" t="str">
        <f t="shared" si="41"/>
        <v/>
      </c>
      <c r="AV40" s="4"/>
      <c r="AX40" s="56">
        <f>BC28</f>
        <v>5.29</v>
      </c>
      <c r="BE40" s="140" t="s">
        <v>16</v>
      </c>
    </row>
    <row r="41" spans="4:57" ht="15">
      <c r="D41" s="4"/>
      <c r="E41" s="4"/>
      <c r="F41" s="4"/>
      <c r="G41" s="59"/>
      <c r="H41" s="4" t="s">
        <v>59</v>
      </c>
      <c r="I41" s="4"/>
      <c r="J41" s="4"/>
      <c r="K41" s="4"/>
      <c r="L41" s="39"/>
      <c r="M41" s="4"/>
      <c r="N41" s="39" t="s">
        <v>52</v>
      </c>
      <c r="O41" s="163">
        <f>AA28</f>
        <v>226.31</v>
      </c>
      <c r="P41" s="39" t="str">
        <f t="shared" si="41"/>
        <v/>
      </c>
      <c r="AV41" s="4"/>
      <c r="AX41" s="56">
        <f>BD28</f>
        <v>226.31</v>
      </c>
      <c r="BC41" s="158">
        <f>BL28</f>
        <v>7544.31</v>
      </c>
      <c r="BD41">
        <f>BL15</f>
        <v>3.6784999999999998E-2</v>
      </c>
      <c r="BE41" s="158">
        <f>BC41*BD41</f>
        <v>277.52</v>
      </c>
    </row>
    <row r="42" spans="4:57" ht="15">
      <c r="D42" s="4"/>
      <c r="E42" s="4"/>
      <c r="F42" s="4"/>
      <c r="G42" s="59"/>
      <c r="H42" s="4" t="s">
        <v>60</v>
      </c>
      <c r="I42" s="4"/>
      <c r="J42" s="4"/>
      <c r="K42" s="4"/>
      <c r="L42" s="39"/>
      <c r="M42" s="4"/>
      <c r="N42" s="39" t="s">
        <v>52</v>
      </c>
      <c r="O42" s="163">
        <f>AC28</f>
        <v>440</v>
      </c>
      <c r="P42" s="39" t="str">
        <f t="shared" si="41"/>
        <v/>
      </c>
      <c r="AV42" s="4"/>
      <c r="AX42" s="56">
        <f>BE28</f>
        <v>440</v>
      </c>
    </row>
    <row r="43" spans="4:57" ht="15">
      <c r="D43" s="4"/>
      <c r="E43" s="4"/>
      <c r="F43" s="4"/>
      <c r="G43" s="4"/>
      <c r="H43" s="4" t="s">
        <v>61</v>
      </c>
      <c r="I43" s="4"/>
      <c r="J43" s="4"/>
      <c r="K43" s="4"/>
      <c r="L43" s="39"/>
      <c r="M43" s="4"/>
      <c r="N43" s="4"/>
      <c r="O43" s="163">
        <f>AE28</f>
        <v>6.8</v>
      </c>
      <c r="P43" s="39" t="str">
        <f t="shared" si="41"/>
        <v/>
      </c>
      <c r="AV43" s="4"/>
      <c r="AX43" s="56">
        <f>BF28</f>
        <v>6.8</v>
      </c>
    </row>
    <row r="44" spans="4:57" ht="15">
      <c r="D44" s="4"/>
      <c r="E44" s="4"/>
      <c r="F44" s="4"/>
      <c r="G44" s="4"/>
      <c r="H44" s="4" t="s">
        <v>62</v>
      </c>
      <c r="I44" s="4"/>
      <c r="J44" s="4"/>
      <c r="K44" s="4"/>
      <c r="L44" s="39"/>
      <c r="M44" s="4"/>
      <c r="N44" s="39" t="s">
        <v>52</v>
      </c>
      <c r="O44" s="163">
        <f>AG28</f>
        <v>16.5</v>
      </c>
      <c r="P44" s="39" t="str">
        <f t="shared" si="41"/>
        <v/>
      </c>
      <c r="AV44" s="4"/>
      <c r="AX44" s="56">
        <f>BG28</f>
        <v>16.5</v>
      </c>
    </row>
    <row r="45" spans="4:57" ht="15">
      <c r="D45" s="4"/>
      <c r="E45" s="4"/>
      <c r="F45" s="4"/>
      <c r="G45" s="4"/>
      <c r="H45" s="4" t="s">
        <v>63</v>
      </c>
      <c r="I45" s="4"/>
      <c r="J45" s="4"/>
      <c r="K45" s="4"/>
      <c r="L45" s="39"/>
      <c r="M45" s="4"/>
      <c r="N45" s="4"/>
      <c r="O45" s="163">
        <f>AJ28</f>
        <v>5579.65</v>
      </c>
      <c r="P45" s="39" t="str">
        <f t="shared" si="41"/>
        <v/>
      </c>
      <c r="AV45" s="4"/>
      <c r="AX45" s="56">
        <f>AV35-SUM(AX36:AX44)</f>
        <v>5579.65</v>
      </c>
    </row>
    <row r="46" spans="4:57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AV46" s="4"/>
      <c r="AX46" s="4"/>
    </row>
    <row r="47" spans="4:57" ht="15">
      <c r="D47" s="4"/>
      <c r="E47" s="210" t="s">
        <v>71</v>
      </c>
      <c r="F47" s="209"/>
      <c r="G47" s="4" t="s">
        <v>67</v>
      </c>
      <c r="H47" s="4"/>
      <c r="I47" s="4"/>
      <c r="J47" s="4"/>
      <c r="K47" s="4"/>
      <c r="L47" s="39"/>
      <c r="M47" s="163">
        <f>SUM(O48:O51)</f>
        <v>899.93</v>
      </c>
      <c r="N47" s="39" t="str">
        <f>IF(OR(M47="",M47=AV47),"","*")</f>
        <v/>
      </c>
      <c r="O47" s="4"/>
      <c r="P47" s="4"/>
      <c r="AV47" s="56">
        <f>SUM(AX48:AX51)</f>
        <v>899.93</v>
      </c>
      <c r="AX47" s="4"/>
    </row>
    <row r="48" spans="4:57" ht="15">
      <c r="D48" s="4"/>
      <c r="E48" s="4"/>
      <c r="F48" s="4"/>
      <c r="G48" s="59"/>
      <c r="H48" s="4" t="s">
        <v>143</v>
      </c>
      <c r="I48" s="4"/>
      <c r="J48" s="4"/>
      <c r="K48" s="4"/>
      <c r="L48" s="39"/>
      <c r="M48" s="4"/>
      <c r="N48" s="39" t="s">
        <v>52</v>
      </c>
      <c r="O48" s="163">
        <f>AL28*0.062</f>
        <v>467.75</v>
      </c>
      <c r="P48" s="39" t="str">
        <f>IF(OR(O48="",O48=AX48),"","*")</f>
        <v/>
      </c>
      <c r="AV48" s="4"/>
      <c r="AX48" s="56">
        <f>BI28*0.062</f>
        <v>467.75</v>
      </c>
    </row>
    <row r="49" spans="4:50" ht="15">
      <c r="D49" s="4"/>
      <c r="E49" s="4"/>
      <c r="F49" s="4"/>
      <c r="G49" s="59"/>
      <c r="H49" s="4" t="s">
        <v>144</v>
      </c>
      <c r="I49" s="4"/>
      <c r="J49" s="4"/>
      <c r="K49" s="4"/>
      <c r="L49" s="39"/>
      <c r="M49" s="4"/>
      <c r="N49" s="39" t="s">
        <v>52</v>
      </c>
      <c r="O49" s="163">
        <f>AN28*0.0145</f>
        <v>109.39</v>
      </c>
      <c r="P49" s="39" t="str">
        <f>IF(OR(O49="",O49=AX49),"","*")</f>
        <v/>
      </c>
      <c r="AV49" s="4"/>
      <c r="AX49" s="56">
        <f>BJ28*0.0145</f>
        <v>109.39</v>
      </c>
    </row>
    <row r="50" spans="4:50" ht="15">
      <c r="D50" s="4"/>
      <c r="E50" s="4"/>
      <c r="F50" s="4"/>
      <c r="G50" s="59"/>
      <c r="H50" s="4" t="s">
        <v>68</v>
      </c>
      <c r="I50" s="4"/>
      <c r="J50" s="4"/>
      <c r="K50" s="4"/>
      <c r="L50" s="39"/>
      <c r="M50" s="4"/>
      <c r="N50" s="39" t="s">
        <v>52</v>
      </c>
      <c r="O50" s="163">
        <f>Y35</f>
        <v>45.27</v>
      </c>
      <c r="P50" s="39" t="str">
        <f>IF(OR(O50="",O50=AX50),"","*")</f>
        <v/>
      </c>
      <c r="AV50" s="4"/>
      <c r="AX50" s="56">
        <f>BE39</f>
        <v>45.27</v>
      </c>
    </row>
    <row r="51" spans="4:50" ht="15">
      <c r="D51" s="4"/>
      <c r="E51" s="4"/>
      <c r="F51" s="4"/>
      <c r="G51" s="4"/>
      <c r="H51" s="4" t="s">
        <v>69</v>
      </c>
      <c r="I51" s="4"/>
      <c r="J51" s="4"/>
      <c r="K51" s="4"/>
      <c r="L51" s="39"/>
      <c r="M51" s="4"/>
      <c r="N51" s="4"/>
      <c r="O51" s="163">
        <f>Y37</f>
        <v>277.52</v>
      </c>
      <c r="P51" s="39" t="str">
        <f>IF(OR(O51="",O51=AX51),"","*")</f>
        <v/>
      </c>
      <c r="AV51" s="4"/>
      <c r="AX51" s="56">
        <f>BE41</f>
        <v>277.52</v>
      </c>
    </row>
    <row r="52" spans="4:50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AV52" s="4"/>
      <c r="AX52" s="4"/>
    </row>
    <row r="53" spans="4:50" ht="15">
      <c r="D53" s="4"/>
      <c r="E53" s="210" t="s">
        <v>64</v>
      </c>
      <c r="F53" s="209"/>
      <c r="G53" s="4" t="s">
        <v>65</v>
      </c>
      <c r="H53" s="4"/>
      <c r="I53" s="4"/>
      <c r="J53" s="4"/>
      <c r="K53" s="4"/>
      <c r="L53" s="39"/>
      <c r="M53" s="163">
        <f>O45</f>
        <v>5579.65</v>
      </c>
      <c r="N53" s="39" t="str">
        <f>IF(OR(M53="",M53=AV53),"","*")</f>
        <v/>
      </c>
      <c r="O53" s="4"/>
      <c r="P53" s="4"/>
      <c r="AV53" s="56">
        <f>AX45</f>
        <v>5579.65</v>
      </c>
      <c r="AX53" s="4"/>
    </row>
    <row r="54" spans="4:50" ht="15">
      <c r="D54" s="4"/>
      <c r="E54" s="4"/>
      <c r="F54" s="4"/>
      <c r="G54" s="59"/>
      <c r="H54" s="4" t="s">
        <v>66</v>
      </c>
      <c r="I54" s="4"/>
      <c r="J54" s="4"/>
      <c r="K54" s="4"/>
      <c r="L54" s="39"/>
      <c r="M54" s="4"/>
      <c r="N54" s="39" t="s">
        <v>52</v>
      </c>
      <c r="O54" s="163">
        <f>AJ28</f>
        <v>5579.65</v>
      </c>
      <c r="P54" s="39" t="str">
        <f>IF(OR(O54="",O54=AX54),"","*")</f>
        <v/>
      </c>
      <c r="AV54" s="4"/>
      <c r="AX54" s="56">
        <f>AX45</f>
        <v>5579.65</v>
      </c>
    </row>
    <row r="55" spans="4:50"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4:50">
      <c r="D56" t="s">
        <v>146</v>
      </c>
    </row>
    <row r="57" spans="4:50">
      <c r="D57" t="s">
        <v>145</v>
      </c>
    </row>
  </sheetData>
  <sheetProtection password="F4C4" sheet="1" objects="1" scenarios="1"/>
  <mergeCells count="33">
    <mergeCell ref="B10:AK10"/>
    <mergeCell ref="F14:F17"/>
    <mergeCell ref="B11:AS11"/>
    <mergeCell ref="E40:F40"/>
    <mergeCell ref="E47:F47"/>
    <mergeCell ref="B16:D16"/>
    <mergeCell ref="Q16:S16"/>
    <mergeCell ref="AE16:AF16"/>
    <mergeCell ref="B17:D17"/>
    <mergeCell ref="AE17:AF17"/>
    <mergeCell ref="E53:F53"/>
    <mergeCell ref="D31:P31"/>
    <mergeCell ref="H33:K33"/>
    <mergeCell ref="H34:K34"/>
    <mergeCell ref="E35:F35"/>
    <mergeCell ref="E33:F33"/>
    <mergeCell ref="E36:F36"/>
    <mergeCell ref="C1:L1"/>
    <mergeCell ref="AL14:AS14"/>
    <mergeCell ref="G15:G17"/>
    <mergeCell ref="H15:H17"/>
    <mergeCell ref="K15:K17"/>
    <mergeCell ref="L15:L17"/>
    <mergeCell ref="Q15:S15"/>
    <mergeCell ref="AG17:AH17"/>
    <mergeCell ref="G14:J14"/>
    <mergeCell ref="K14:N14"/>
    <mergeCell ref="E12:I12"/>
    <mergeCell ref="Q14:AG14"/>
    <mergeCell ref="AI14:AK14"/>
    <mergeCell ref="B8:AS8"/>
    <mergeCell ref="E14:E17"/>
    <mergeCell ref="B9:AK9"/>
  </mergeCells>
  <phoneticPr fontId="0" type="noConversion"/>
  <pageMargins left="0.57999999999999996" right="0.67" top="1" bottom="1" header="0.5" footer="0.5"/>
  <pageSetup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56"/>
  <sheetViews>
    <sheetView showGridLines="0" workbookViewId="0">
      <selection activeCell="BK13" sqref="AS1:BK1048576"/>
    </sheetView>
  </sheetViews>
  <sheetFormatPr defaultRowHeight="12.5"/>
  <cols>
    <col min="3" max="3" width="2.453125" customWidth="1"/>
    <col min="4" max="4" width="5.54296875" customWidth="1"/>
    <col min="5" max="5" width="4.453125" customWidth="1"/>
    <col min="6" max="6" width="5.90625" customWidth="1"/>
    <col min="8" max="8" width="9.1796875" bestFit="1" customWidth="1"/>
    <col min="9" max="9" width="3.453125" customWidth="1"/>
    <col min="10" max="10" width="5.08984375" customWidth="1"/>
    <col min="11" max="11" width="7.08984375" customWidth="1"/>
    <col min="12" max="12" width="9.1796875" bestFit="1" customWidth="1"/>
    <col min="13" max="13" width="3.7265625" customWidth="1"/>
    <col min="14" max="14" width="9.6328125" customWidth="1"/>
    <col min="15" max="15" width="3.36328125" customWidth="1"/>
    <col min="17" max="17" width="2.90625" customWidth="1"/>
    <col min="19" max="19" width="3.08984375" customWidth="1"/>
    <col min="20" max="20" width="9.54296875" customWidth="1"/>
    <col min="21" max="21" width="3" customWidth="1"/>
    <col min="22" max="22" width="10" customWidth="1"/>
    <col min="23" max="23" width="3.26953125" customWidth="1"/>
    <col min="24" max="24" width="9.6328125" customWidth="1"/>
    <col min="25" max="25" width="2.90625" customWidth="1"/>
    <col min="26" max="26" width="8.7265625" customWidth="1"/>
    <col min="27" max="27" width="3" customWidth="1"/>
    <col min="28" max="28" width="8.7265625" customWidth="1"/>
    <col min="29" max="29" width="3.26953125" customWidth="1"/>
    <col min="30" max="30" width="8.7265625" customWidth="1"/>
    <col min="31" max="31" width="2.6328125" customWidth="1"/>
    <col min="32" max="32" width="8.7265625" customWidth="1"/>
    <col min="33" max="33" width="2.6328125" customWidth="1"/>
    <col min="34" max="34" width="8.7265625" customWidth="1"/>
    <col min="35" max="35" width="9.1796875" customWidth="1"/>
    <col min="36" max="36" width="2.90625" customWidth="1"/>
    <col min="37" max="37" width="9.90625" customWidth="1"/>
    <col min="38" max="38" width="3.1796875" customWidth="1"/>
    <col min="39" max="39" width="10" customWidth="1"/>
    <col min="40" max="40" width="3.1796875" customWidth="1"/>
    <col min="41" max="41" width="9.7265625" customWidth="1"/>
    <col min="42" max="42" width="2.81640625" customWidth="1"/>
    <col min="43" max="43" width="9.90625" customWidth="1"/>
    <col min="44" max="44" width="2.81640625" customWidth="1"/>
    <col min="45" max="45" width="8.7265625" hidden="1" customWidth="1"/>
    <col min="46" max="47" width="9.1796875" hidden="1" customWidth="1"/>
    <col min="48" max="48" width="3.54296875" hidden="1" customWidth="1"/>
    <col min="49" max="49" width="9.1796875" hidden="1" customWidth="1"/>
    <col min="50" max="58" width="8.7265625" hidden="1" customWidth="1"/>
    <col min="59" max="63" width="9.1796875" hidden="1" customWidth="1"/>
    <col min="64" max="64" width="8.7265625" customWidth="1"/>
  </cols>
  <sheetData>
    <row r="1" spans="1:63" ht="13">
      <c r="A1" s="2" t="s">
        <v>17</v>
      </c>
      <c r="B1" s="215" t="s">
        <v>72</v>
      </c>
      <c r="C1" s="215"/>
      <c r="D1" s="215"/>
      <c r="E1" s="215"/>
      <c r="F1" s="215"/>
      <c r="G1" s="215"/>
      <c r="H1" s="215"/>
      <c r="I1" s="215"/>
      <c r="J1" s="215"/>
      <c r="K1" s="215"/>
    </row>
    <row r="2" spans="1:63" ht="13">
      <c r="A2" s="75" t="s">
        <v>150</v>
      </c>
    </row>
    <row r="3" spans="1:63">
      <c r="A3" s="8" t="s">
        <v>19</v>
      </c>
      <c r="B3" s="8"/>
      <c r="C3" s="8"/>
    </row>
    <row r="4" spans="1:63" ht="13">
      <c r="A4" s="75" t="s">
        <v>73</v>
      </c>
      <c r="B4" s="75"/>
      <c r="C4" s="8"/>
    </row>
    <row r="6" spans="1:63" ht="13">
      <c r="A6" s="6" t="s">
        <v>75</v>
      </c>
      <c r="B6" s="6"/>
      <c r="C6" s="7"/>
    </row>
    <row r="7" spans="1:63" ht="13">
      <c r="A7" s="214" t="s">
        <v>76</v>
      </c>
      <c r="B7" s="214"/>
      <c r="C7" s="214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1"/>
    </row>
    <row r="8" spans="1:63" ht="13">
      <c r="A8" s="244"/>
      <c r="B8" s="244"/>
      <c r="C8" s="244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4"/>
      <c r="AL8" s="4"/>
      <c r="AM8" s="4"/>
      <c r="AN8" s="4"/>
      <c r="AO8" s="4"/>
      <c r="AP8" s="4"/>
      <c r="AQ8" s="4"/>
      <c r="AR8" s="4"/>
      <c r="AS8" s="1"/>
    </row>
    <row r="9" spans="1:63" ht="13">
      <c r="A9" s="244"/>
      <c r="B9" s="244"/>
      <c r="C9" s="244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4"/>
      <c r="AL9" s="4"/>
      <c r="AM9" s="4"/>
      <c r="AN9" s="4"/>
      <c r="AO9" s="4"/>
      <c r="AP9" s="4"/>
      <c r="AQ9" s="4"/>
      <c r="AR9" s="4"/>
      <c r="AS9" s="1"/>
    </row>
    <row r="10" spans="1:63">
      <c r="A10" s="246" t="s">
        <v>7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1"/>
    </row>
    <row r="11" spans="1:63">
      <c r="A11" s="40" t="s">
        <v>18</v>
      </c>
      <c r="B11" s="40"/>
      <c r="C11" s="40"/>
      <c r="D11" s="239" t="s">
        <v>42</v>
      </c>
      <c r="E11" s="240"/>
      <c r="F11" s="240"/>
      <c r="G11" s="240"/>
      <c r="H11" s="240"/>
      <c r="I11" s="12"/>
      <c r="J11" s="12"/>
      <c r="K11" s="12"/>
      <c r="L11" s="12"/>
      <c r="M11" s="22"/>
      <c r="N11" s="12"/>
      <c r="O11" s="12"/>
      <c r="P11" s="12"/>
      <c r="Q11" s="12"/>
      <c r="R11" s="12"/>
      <c r="S11" s="12"/>
      <c r="T11" s="13"/>
      <c r="U11" s="13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4"/>
      <c r="AL11" s="4"/>
      <c r="AM11" s="4"/>
      <c r="AN11" s="4"/>
      <c r="AO11" s="4"/>
      <c r="AP11" s="4"/>
      <c r="AQ11" s="4"/>
      <c r="AR11" s="4"/>
      <c r="AS11" s="1"/>
    </row>
    <row r="12" spans="1:63" ht="13" thickBo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96"/>
      <c r="AX12" t="s">
        <v>129</v>
      </c>
      <c r="AY12" t="s">
        <v>1</v>
      </c>
      <c r="BA12" t="s">
        <v>130</v>
      </c>
      <c r="BB12" t="s">
        <v>131</v>
      </c>
      <c r="BC12" t="s">
        <v>132</v>
      </c>
    </row>
    <row r="13" spans="1:63" ht="13" thickTop="1">
      <c r="A13" s="15"/>
      <c r="B13" s="16"/>
      <c r="C13" s="54"/>
      <c r="D13" s="237" t="s">
        <v>10</v>
      </c>
      <c r="E13" s="247" t="s">
        <v>11</v>
      </c>
      <c r="F13" s="216" t="s">
        <v>37</v>
      </c>
      <c r="G13" s="218"/>
      <c r="H13" s="218"/>
      <c r="I13" s="219"/>
      <c r="J13" s="216" t="s">
        <v>43</v>
      </c>
      <c r="K13" s="218"/>
      <c r="L13" s="218"/>
      <c r="M13" s="219"/>
      <c r="N13" s="49"/>
      <c r="O13" s="43"/>
      <c r="P13" s="241" t="s">
        <v>6</v>
      </c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7"/>
      <c r="AH13" s="216" t="s">
        <v>48</v>
      </c>
      <c r="AI13" s="242"/>
      <c r="AJ13" s="243"/>
      <c r="AK13" s="216" t="s">
        <v>51</v>
      </c>
      <c r="AL13" s="217"/>
      <c r="AM13" s="217"/>
      <c r="AN13" s="217"/>
      <c r="AO13" s="217"/>
      <c r="AP13" s="218"/>
      <c r="AQ13" s="218"/>
      <c r="AR13" s="219"/>
      <c r="AS13" s="97"/>
      <c r="AW13" t="s">
        <v>133</v>
      </c>
      <c r="AX13">
        <v>6.2E-2</v>
      </c>
      <c r="AY13">
        <v>1.4500000000000001E-2</v>
      </c>
      <c r="BA13">
        <v>3.0700000000000002E-2</v>
      </c>
      <c r="BB13">
        <v>6.9999999999999999E-4</v>
      </c>
      <c r="BC13">
        <v>1.3299999999999999E-2</v>
      </c>
    </row>
    <row r="14" spans="1:63">
      <c r="A14" s="17"/>
      <c r="B14" s="10"/>
      <c r="C14" s="55"/>
      <c r="D14" s="238"/>
      <c r="E14" s="248"/>
      <c r="F14" s="220" t="s">
        <v>38</v>
      </c>
      <c r="G14" s="223" t="s">
        <v>39</v>
      </c>
      <c r="H14" s="9"/>
      <c r="I14" s="63"/>
      <c r="J14" s="220" t="s">
        <v>38</v>
      </c>
      <c r="K14" s="223" t="s">
        <v>39</v>
      </c>
      <c r="L14" s="9"/>
      <c r="M14" s="63"/>
      <c r="N14" s="41"/>
      <c r="O14" s="44"/>
      <c r="P14" s="226"/>
      <c r="Q14" s="226"/>
      <c r="R14" s="226"/>
      <c r="S14" s="32"/>
      <c r="T14" s="24"/>
      <c r="U14" s="28"/>
      <c r="V14" s="24"/>
      <c r="W14" s="28"/>
      <c r="X14" s="33"/>
      <c r="Y14" s="33"/>
      <c r="Z14" s="24"/>
      <c r="AA14" s="28"/>
      <c r="AB14" s="24"/>
      <c r="AC14" s="28"/>
      <c r="AD14" s="33"/>
      <c r="AE14" s="33"/>
      <c r="AF14" s="24"/>
      <c r="AG14" s="28"/>
      <c r="AH14" s="87"/>
      <c r="AI14" s="11"/>
      <c r="AJ14" s="23"/>
      <c r="AK14" s="24"/>
      <c r="AL14" s="28"/>
      <c r="AM14" s="24"/>
      <c r="AN14" s="28"/>
      <c r="AO14" s="24"/>
      <c r="AP14" s="28"/>
      <c r="AQ14" s="24"/>
      <c r="AR14" s="28"/>
      <c r="AS14" s="98"/>
      <c r="AW14" t="s">
        <v>134</v>
      </c>
      <c r="AX14">
        <v>6.2E-2</v>
      </c>
      <c r="AY14">
        <v>1.4500000000000001E-2</v>
      </c>
      <c r="BH14" s="249" t="s">
        <v>95</v>
      </c>
      <c r="BI14" s="249"/>
      <c r="BJ14" s="249"/>
      <c r="BK14" s="249"/>
    </row>
    <row r="15" spans="1:63">
      <c r="A15" s="229"/>
      <c r="B15" s="230"/>
      <c r="C15" s="231"/>
      <c r="D15" s="238"/>
      <c r="E15" s="248"/>
      <c r="F15" s="221"/>
      <c r="G15" s="224"/>
      <c r="H15" s="11"/>
      <c r="I15" s="23"/>
      <c r="J15" s="221"/>
      <c r="K15" s="224"/>
      <c r="L15" s="11"/>
      <c r="M15" s="23"/>
      <c r="N15" s="42" t="s">
        <v>12</v>
      </c>
      <c r="O15" s="45"/>
      <c r="P15" s="232" t="s">
        <v>2</v>
      </c>
      <c r="Q15" s="232"/>
      <c r="R15" s="232"/>
      <c r="S15" s="33"/>
      <c r="T15" s="24"/>
      <c r="U15" s="29"/>
      <c r="V15" s="24"/>
      <c r="W15" s="29"/>
      <c r="X15" s="33"/>
      <c r="Y15" s="33"/>
      <c r="Z15" s="24"/>
      <c r="AA15" s="29"/>
      <c r="AB15" s="24"/>
      <c r="AC15" s="29"/>
      <c r="AD15" s="233" t="s">
        <v>47</v>
      </c>
      <c r="AE15" s="234"/>
      <c r="AF15" s="86" t="s">
        <v>46</v>
      </c>
      <c r="AG15" s="29"/>
      <c r="AH15" s="88" t="s">
        <v>49</v>
      </c>
      <c r="AI15" s="11"/>
      <c r="AJ15" s="23"/>
      <c r="AK15" s="24"/>
      <c r="AL15" s="29"/>
      <c r="AM15" s="24"/>
      <c r="AN15" s="29"/>
      <c r="AO15" s="24"/>
      <c r="AP15" s="29"/>
      <c r="AQ15" s="24"/>
      <c r="AR15" s="29"/>
      <c r="AS15" s="98"/>
      <c r="BH15">
        <v>6.2E-2</v>
      </c>
      <c r="BI15">
        <v>1.4500000000000001E-2</v>
      </c>
      <c r="BJ15">
        <v>6.0000000000000001E-3</v>
      </c>
      <c r="BK15">
        <v>3.6784999999999998E-2</v>
      </c>
    </row>
    <row r="16" spans="1:63" ht="15.5" customHeight="1">
      <c r="A16" s="235" t="s">
        <v>26</v>
      </c>
      <c r="B16" s="232"/>
      <c r="C16" s="236"/>
      <c r="D16" s="238"/>
      <c r="E16" s="248"/>
      <c r="F16" s="222"/>
      <c r="G16" s="225"/>
      <c r="H16" s="72" t="s">
        <v>40</v>
      </c>
      <c r="I16" s="64"/>
      <c r="J16" s="222"/>
      <c r="K16" s="225"/>
      <c r="L16" s="72" t="s">
        <v>40</v>
      </c>
      <c r="M16" s="64"/>
      <c r="N16" s="93" t="s">
        <v>13</v>
      </c>
      <c r="O16" s="46"/>
      <c r="P16" s="81" t="s">
        <v>0</v>
      </c>
      <c r="Q16" s="82"/>
      <c r="R16" s="83" t="s">
        <v>1</v>
      </c>
      <c r="S16" s="34"/>
      <c r="T16" s="85" t="s">
        <v>3</v>
      </c>
      <c r="U16" s="31"/>
      <c r="V16" s="72" t="s">
        <v>4</v>
      </c>
      <c r="W16" s="29"/>
      <c r="X16" s="72" t="s">
        <v>16</v>
      </c>
      <c r="Y16" s="30"/>
      <c r="Z16" s="85" t="s">
        <v>5</v>
      </c>
      <c r="AA16" s="29"/>
      <c r="AB16" s="85" t="s">
        <v>44</v>
      </c>
      <c r="AC16" s="29"/>
      <c r="AD16" s="227" t="s">
        <v>45</v>
      </c>
      <c r="AE16" s="228"/>
      <c r="AF16" s="227" t="s">
        <v>45</v>
      </c>
      <c r="AG16" s="228"/>
      <c r="AH16" s="89" t="s">
        <v>50</v>
      </c>
      <c r="AI16" s="84" t="s">
        <v>40</v>
      </c>
      <c r="AJ16" s="21"/>
      <c r="AK16" s="85" t="s">
        <v>0</v>
      </c>
      <c r="AL16" s="29"/>
      <c r="AM16" s="85" t="s">
        <v>1</v>
      </c>
      <c r="AN16" s="29"/>
      <c r="AO16" s="85" t="s">
        <v>15</v>
      </c>
      <c r="AP16" s="29"/>
      <c r="AQ16" s="85" t="s">
        <v>16</v>
      </c>
      <c r="AR16" s="29"/>
      <c r="AS16" s="98"/>
      <c r="AT16" t="s">
        <v>87</v>
      </c>
      <c r="AU16" t="s">
        <v>88</v>
      </c>
      <c r="AW16" t="s">
        <v>89</v>
      </c>
      <c r="AX16" t="s">
        <v>0</v>
      </c>
      <c r="AY16" t="s">
        <v>1</v>
      </c>
      <c r="AZ16" t="s">
        <v>3</v>
      </c>
      <c r="BA16" t="s">
        <v>4</v>
      </c>
      <c r="BB16" t="s">
        <v>16</v>
      </c>
      <c r="BC16" t="s">
        <v>5</v>
      </c>
      <c r="BD16" t="s">
        <v>92</v>
      </c>
      <c r="BE16" t="s">
        <v>91</v>
      </c>
      <c r="BF16" t="s">
        <v>90</v>
      </c>
      <c r="BG16" t="s">
        <v>93</v>
      </c>
      <c r="BH16" t="s">
        <v>0</v>
      </c>
      <c r="BI16" t="s">
        <v>1</v>
      </c>
      <c r="BJ16" t="s">
        <v>15</v>
      </c>
      <c r="BK16" t="s">
        <v>16</v>
      </c>
    </row>
    <row r="17" spans="1:63" ht="15">
      <c r="A17" s="60" t="s">
        <v>94</v>
      </c>
      <c r="B17" s="102"/>
      <c r="C17" s="20"/>
      <c r="D17" s="193" t="s">
        <v>9</v>
      </c>
      <c r="E17" s="193">
        <v>1</v>
      </c>
      <c r="F17" s="176">
        <v>40</v>
      </c>
      <c r="G17" s="195">
        <v>18.5</v>
      </c>
      <c r="H17" s="73">
        <f>F17*G17</f>
        <v>740</v>
      </c>
      <c r="I17" s="35" t="str">
        <f t="shared" ref="I17:I27" si="0">IF(OR(H17="",H17=AT17),"","*")</f>
        <v/>
      </c>
      <c r="J17" s="77"/>
      <c r="K17" s="80"/>
      <c r="L17" s="66"/>
      <c r="M17" s="35" t="str">
        <f t="shared" ref="M17:M27" si="1">IF(OR(L17="",L17=AU17),"","*")</f>
        <v/>
      </c>
      <c r="N17" s="138">
        <f t="shared" ref="N17:N26" si="2">H17+L17</f>
        <v>740</v>
      </c>
      <c r="O17" s="35" t="str">
        <f t="shared" ref="O17:O27" si="3">IF(OR(N17="",N17=AW17),"","*")</f>
        <v/>
      </c>
      <c r="P17" s="142">
        <f>N17*0.062</f>
        <v>45.88</v>
      </c>
      <c r="Q17" s="35" t="str">
        <f t="shared" ref="Q17:Q27" si="4">IF(OR(P17="",P17=AX17),"","*")</f>
        <v/>
      </c>
      <c r="R17" s="143">
        <f t="shared" ref="R17:R26" si="5">N17*0.0145</f>
        <v>10.73</v>
      </c>
      <c r="S17" s="35" t="str">
        <f t="shared" ref="S17:S27" si="6">IF(OR(R17="",R17=AY17),"","*")</f>
        <v/>
      </c>
      <c r="T17" s="138">
        <v>82</v>
      </c>
      <c r="U17" s="35" t="str">
        <f t="shared" ref="U17:U27" si="7">IF(OR(T17="",T17=AZ17),"","*")</f>
        <v/>
      </c>
      <c r="V17" s="143">
        <f>N17*0.0307</f>
        <v>22.72</v>
      </c>
      <c r="W17" s="35" t="str">
        <f t="shared" ref="W17:W27" si="8">IF(OR(V17="",V17=BA17),"","*")</f>
        <v/>
      </c>
      <c r="X17" s="25">
        <f>N17*0.0007</f>
        <v>0.52</v>
      </c>
      <c r="Y17" s="35" t="str">
        <f t="shared" ref="Y17:Y27" si="9">IF(OR(X17="",X17=BB17),"","*")</f>
        <v/>
      </c>
      <c r="Z17" s="143">
        <f>N17*0.0133</f>
        <v>9.84</v>
      </c>
      <c r="AA17" s="35" t="str">
        <f t="shared" ref="AA17:AA27" si="10">IF(OR(Z17="",Z17=BC17),"","*")</f>
        <v/>
      </c>
      <c r="AB17" s="143">
        <v>20</v>
      </c>
      <c r="AC17" s="35" t="str">
        <f t="shared" ref="AC17:AC27" si="11">IF(OR(AB17="",AB17=BD17),"","*")</f>
        <v/>
      </c>
      <c r="AD17" s="143">
        <v>0.85</v>
      </c>
      <c r="AE17" s="168" t="str">
        <f t="shared" ref="AE17:AE27" si="12">IF(OR(AD17="",AD17=BE17),"","*")</f>
        <v/>
      </c>
      <c r="AF17" s="143">
        <v>1.65</v>
      </c>
      <c r="AG17" s="168" t="str">
        <f t="shared" ref="AG17:AG27" si="13">IF(OR(AF17="",AF17=BF17),"","*")</f>
        <v/>
      </c>
      <c r="AH17" s="187">
        <v>313</v>
      </c>
      <c r="AI17" s="188">
        <f t="shared" ref="AI17:AI26" si="14">N17-SUM(P17:AF17)</f>
        <v>545.80999999999995</v>
      </c>
      <c r="AJ17" s="35" t="str">
        <f t="shared" ref="AJ17:AJ27" si="15">IF(OR(AI17="",AI17=BG17),"","*")</f>
        <v/>
      </c>
      <c r="AK17" s="143">
        <f t="shared" ref="AK17:AK26" si="16">N17</f>
        <v>740</v>
      </c>
      <c r="AL17" s="35" t="str">
        <f t="shared" ref="AL17:AL27" si="17">IF(OR(AK17="",AK17=BH17),"","*")</f>
        <v/>
      </c>
      <c r="AM17" s="143">
        <f t="shared" ref="AM17:AM26" si="18">N17</f>
        <v>740</v>
      </c>
      <c r="AN17" s="35" t="str">
        <f t="shared" ref="AN17:AN27" si="19">IF(OR(AM17="",AM17=BI17),"","*")</f>
        <v/>
      </c>
      <c r="AO17" s="143">
        <f t="shared" ref="AO17:AO26" si="20">N17</f>
        <v>740</v>
      </c>
      <c r="AP17" s="35" t="str">
        <f t="shared" ref="AP17:AP27" si="21">IF(OR(AO17="",AO17=BJ17),"","*")</f>
        <v/>
      </c>
      <c r="AQ17" s="143">
        <f t="shared" ref="AQ17:AQ26" si="22">N17</f>
        <v>740</v>
      </c>
      <c r="AR17" s="35" t="str">
        <f t="shared" ref="AR17:AR27" si="23">IF(OR(AQ17="",AQ17=BK17),"","*")</f>
        <v/>
      </c>
      <c r="AS17" s="99"/>
      <c r="AT17" s="123">
        <f>18.5*40</f>
        <v>740</v>
      </c>
      <c r="AU17" s="123"/>
      <c r="AV17" s="123"/>
      <c r="AW17" s="123">
        <f>AT17+AU17</f>
        <v>740</v>
      </c>
      <c r="AX17" s="124">
        <f>AW17*$AX$13</f>
        <v>45.88</v>
      </c>
      <c r="AY17" s="125">
        <f t="shared" ref="AY17:AY26" si="24">AW17*$AY$13</f>
        <v>10.73</v>
      </c>
      <c r="AZ17" s="126">
        <v>82</v>
      </c>
      <c r="BA17" s="125">
        <f t="shared" ref="BA17:BA26" si="25">AW17*$BA$13</f>
        <v>22.72</v>
      </c>
      <c r="BB17" s="125">
        <f t="shared" ref="BB17:BB26" si="26">AW17*$BB$13</f>
        <v>0.52</v>
      </c>
      <c r="BC17" s="125">
        <f t="shared" ref="BC17:BC26" si="27">AW17*$BC$13</f>
        <v>9.84</v>
      </c>
      <c r="BD17" s="125">
        <v>20</v>
      </c>
      <c r="BE17" s="125">
        <v>0.85</v>
      </c>
      <c r="BF17" s="125">
        <v>1.65</v>
      </c>
      <c r="BG17" s="127">
        <f t="shared" ref="BG17:BG26" si="28">AW17-SUM(AX17:BF17)</f>
        <v>545.80999999999995</v>
      </c>
      <c r="BH17" s="125">
        <f>AW17</f>
        <v>740</v>
      </c>
      <c r="BI17" s="125">
        <f>AW17</f>
        <v>740</v>
      </c>
      <c r="BJ17" s="125">
        <f>AW17</f>
        <v>740</v>
      </c>
      <c r="BK17" s="125">
        <f>AW17</f>
        <v>740</v>
      </c>
    </row>
    <row r="18" spans="1:63" ht="15">
      <c r="A18" s="18" t="s">
        <v>78</v>
      </c>
      <c r="B18" s="103"/>
      <c r="C18" s="20"/>
      <c r="D18" s="193" t="s">
        <v>9</v>
      </c>
      <c r="E18" s="193">
        <v>0</v>
      </c>
      <c r="F18" s="176">
        <v>40</v>
      </c>
      <c r="G18" s="196">
        <v>19.25</v>
      </c>
      <c r="H18" s="67">
        <f>F18*G18</f>
        <v>770</v>
      </c>
      <c r="I18" s="35" t="str">
        <f t="shared" si="0"/>
        <v/>
      </c>
      <c r="J18" s="78">
        <v>10</v>
      </c>
      <c r="K18" s="94">
        <f>ROUND(G18*1.5,2)</f>
        <v>28.88</v>
      </c>
      <c r="L18" s="68">
        <f>J18*K18</f>
        <v>288.8</v>
      </c>
      <c r="M18" s="35" t="str">
        <f t="shared" si="1"/>
        <v/>
      </c>
      <c r="N18" s="138">
        <f t="shared" si="2"/>
        <v>1058.8</v>
      </c>
      <c r="O18" s="36" t="str">
        <f t="shared" si="3"/>
        <v/>
      </c>
      <c r="P18" s="142">
        <f t="shared" ref="P18:P26" si="29">N18*0.062</f>
        <v>65.650000000000006</v>
      </c>
      <c r="Q18" s="36" t="str">
        <f t="shared" si="4"/>
        <v/>
      </c>
      <c r="R18" s="143">
        <f t="shared" si="5"/>
        <v>15.35</v>
      </c>
      <c r="S18" s="36" t="str">
        <f t="shared" si="6"/>
        <v/>
      </c>
      <c r="T18" s="147">
        <v>159</v>
      </c>
      <c r="U18" s="36" t="str">
        <f t="shared" si="7"/>
        <v/>
      </c>
      <c r="V18" s="143">
        <f t="shared" ref="V18:V26" si="30">N18*0.0307</f>
        <v>32.51</v>
      </c>
      <c r="W18" s="36" t="str">
        <f t="shared" si="8"/>
        <v/>
      </c>
      <c r="X18" s="25">
        <f t="shared" ref="X18:X26" si="31">N18*0.0007</f>
        <v>0.74</v>
      </c>
      <c r="Y18" s="36" t="str">
        <f t="shared" si="9"/>
        <v/>
      </c>
      <c r="Z18" s="142">
        <f t="shared" ref="Z18:Z26" si="32">N18*0.0133</f>
        <v>14.08</v>
      </c>
      <c r="AA18" s="36" t="str">
        <f t="shared" si="10"/>
        <v/>
      </c>
      <c r="AB18" s="142">
        <v>50</v>
      </c>
      <c r="AC18" s="36" t="str">
        <f t="shared" si="11"/>
        <v/>
      </c>
      <c r="AD18" s="142">
        <v>0.85</v>
      </c>
      <c r="AE18" s="169" t="str">
        <f t="shared" si="12"/>
        <v/>
      </c>
      <c r="AF18" s="143">
        <v>1.65</v>
      </c>
      <c r="AG18" s="169" t="str">
        <f t="shared" si="13"/>
        <v/>
      </c>
      <c r="AH18" s="189">
        <v>314</v>
      </c>
      <c r="AI18" s="188">
        <f t="shared" si="14"/>
        <v>718.97</v>
      </c>
      <c r="AJ18" s="36" t="str">
        <f t="shared" si="15"/>
        <v/>
      </c>
      <c r="AK18" s="143">
        <f t="shared" si="16"/>
        <v>1058.8</v>
      </c>
      <c r="AL18" s="36" t="str">
        <f t="shared" si="17"/>
        <v/>
      </c>
      <c r="AM18" s="143">
        <f t="shared" si="18"/>
        <v>1058.8</v>
      </c>
      <c r="AN18" s="36" t="str">
        <f t="shared" si="19"/>
        <v/>
      </c>
      <c r="AO18" s="143">
        <f t="shared" si="20"/>
        <v>1058.8</v>
      </c>
      <c r="AP18" s="36" t="str">
        <f t="shared" si="21"/>
        <v/>
      </c>
      <c r="AQ18" s="143">
        <f t="shared" si="22"/>
        <v>1058.8</v>
      </c>
      <c r="AR18" s="36" t="str">
        <f t="shared" si="23"/>
        <v/>
      </c>
      <c r="AS18" s="99"/>
      <c r="AT18" s="123">
        <f>19.25*40</f>
        <v>770</v>
      </c>
      <c r="AU18" s="123">
        <f>ROUND(19.25*1.5,2)*10</f>
        <v>288.8</v>
      </c>
      <c r="AV18" s="123"/>
      <c r="AW18" s="123">
        <f t="shared" ref="AW18:AW26" si="33">AT18+AU18</f>
        <v>1058.8</v>
      </c>
      <c r="AX18" s="124">
        <f t="shared" ref="AX18:AX26" si="34">AW18*$AX$13</f>
        <v>65.650000000000006</v>
      </c>
      <c r="AY18" s="124">
        <f t="shared" si="24"/>
        <v>15.35</v>
      </c>
      <c r="AZ18" s="128">
        <v>159</v>
      </c>
      <c r="BA18" s="125">
        <f t="shared" si="25"/>
        <v>32.51</v>
      </c>
      <c r="BB18" s="125">
        <f t="shared" si="26"/>
        <v>0.74</v>
      </c>
      <c r="BC18" s="125">
        <f t="shared" si="27"/>
        <v>14.08</v>
      </c>
      <c r="BD18" s="124">
        <v>50</v>
      </c>
      <c r="BE18" s="124">
        <v>0.85</v>
      </c>
      <c r="BF18" s="124">
        <v>1.65</v>
      </c>
      <c r="BG18" s="127">
        <f t="shared" si="28"/>
        <v>718.97</v>
      </c>
      <c r="BH18" s="124">
        <f t="shared" ref="BH18:BH26" si="35">AW18</f>
        <v>1058.8</v>
      </c>
      <c r="BI18" s="124">
        <f t="shared" ref="BI18:BI26" si="36">AW18</f>
        <v>1058.8</v>
      </c>
      <c r="BJ18" s="124">
        <f t="shared" ref="BJ18:BJ26" si="37">AW18</f>
        <v>1058.8</v>
      </c>
      <c r="BK18" s="124">
        <f t="shared" ref="BK18:BK26" si="38">AW18</f>
        <v>1058.8</v>
      </c>
    </row>
    <row r="19" spans="1:63" ht="15">
      <c r="A19" s="18" t="s">
        <v>79</v>
      </c>
      <c r="B19" s="103"/>
      <c r="C19" s="20"/>
      <c r="D19" s="193" t="s">
        <v>8</v>
      </c>
      <c r="E19" s="193">
        <v>2</v>
      </c>
      <c r="F19" s="176">
        <v>38.5</v>
      </c>
      <c r="G19" s="196">
        <v>17.8</v>
      </c>
      <c r="H19" s="67">
        <f>F19*G19</f>
        <v>685.3</v>
      </c>
      <c r="I19" s="35" t="str">
        <f t="shared" si="0"/>
        <v/>
      </c>
      <c r="J19" s="78"/>
      <c r="K19" s="94"/>
      <c r="L19" s="67"/>
      <c r="M19" s="35" t="str">
        <f t="shared" si="1"/>
        <v/>
      </c>
      <c r="N19" s="138">
        <f t="shared" si="2"/>
        <v>685.3</v>
      </c>
      <c r="O19" s="36" t="str">
        <f t="shared" si="3"/>
        <v/>
      </c>
      <c r="P19" s="142">
        <f t="shared" si="29"/>
        <v>42.49</v>
      </c>
      <c r="Q19" s="36" t="str">
        <f t="shared" si="4"/>
        <v/>
      </c>
      <c r="R19" s="143">
        <f t="shared" si="5"/>
        <v>9.94</v>
      </c>
      <c r="S19" s="36" t="str">
        <f t="shared" si="6"/>
        <v/>
      </c>
      <c r="T19" s="147">
        <v>33</v>
      </c>
      <c r="U19" s="36" t="str">
        <f t="shared" si="7"/>
        <v/>
      </c>
      <c r="V19" s="143">
        <f t="shared" si="30"/>
        <v>21.04</v>
      </c>
      <c r="W19" s="36" t="str">
        <f t="shared" si="8"/>
        <v/>
      </c>
      <c r="X19" s="25">
        <f t="shared" si="31"/>
        <v>0.48</v>
      </c>
      <c r="Y19" s="36" t="str">
        <f t="shared" si="9"/>
        <v/>
      </c>
      <c r="Z19" s="142">
        <f t="shared" si="32"/>
        <v>9.11</v>
      </c>
      <c r="AA19" s="36" t="str">
        <f t="shared" si="10"/>
        <v/>
      </c>
      <c r="AB19" s="142">
        <v>40</v>
      </c>
      <c r="AC19" s="36" t="str">
        <f t="shared" si="11"/>
        <v/>
      </c>
      <c r="AD19" s="142">
        <v>0</v>
      </c>
      <c r="AE19" s="169" t="str">
        <f t="shared" si="12"/>
        <v/>
      </c>
      <c r="AF19" s="143">
        <v>1.65</v>
      </c>
      <c r="AG19" s="169" t="str">
        <f t="shared" si="13"/>
        <v/>
      </c>
      <c r="AH19" s="189">
        <v>315</v>
      </c>
      <c r="AI19" s="188">
        <f t="shared" si="14"/>
        <v>527.59</v>
      </c>
      <c r="AJ19" s="36" t="str">
        <f t="shared" si="15"/>
        <v/>
      </c>
      <c r="AK19" s="143">
        <f t="shared" si="16"/>
        <v>685.3</v>
      </c>
      <c r="AL19" s="36" t="str">
        <f t="shared" si="17"/>
        <v/>
      </c>
      <c r="AM19" s="143">
        <f t="shared" si="18"/>
        <v>685.3</v>
      </c>
      <c r="AN19" s="36" t="str">
        <f t="shared" si="19"/>
        <v/>
      </c>
      <c r="AO19" s="143">
        <f t="shared" si="20"/>
        <v>685.3</v>
      </c>
      <c r="AP19" s="36" t="str">
        <f t="shared" si="21"/>
        <v/>
      </c>
      <c r="AQ19" s="143">
        <f t="shared" si="22"/>
        <v>685.3</v>
      </c>
      <c r="AR19" s="36" t="str">
        <f t="shared" si="23"/>
        <v/>
      </c>
      <c r="AS19" s="99"/>
      <c r="AT19" s="123">
        <f>17.8*38.5</f>
        <v>685.3</v>
      </c>
      <c r="AU19" s="123"/>
      <c r="AV19" s="123"/>
      <c r="AW19" s="123">
        <f t="shared" si="33"/>
        <v>685.3</v>
      </c>
      <c r="AX19" s="124">
        <f t="shared" si="34"/>
        <v>42.49</v>
      </c>
      <c r="AY19" s="124">
        <f t="shared" si="24"/>
        <v>9.94</v>
      </c>
      <c r="AZ19" s="128">
        <v>33</v>
      </c>
      <c r="BA19" s="125">
        <f t="shared" si="25"/>
        <v>21.04</v>
      </c>
      <c r="BB19" s="125">
        <f t="shared" si="26"/>
        <v>0.48</v>
      </c>
      <c r="BC19" s="125">
        <f t="shared" si="27"/>
        <v>9.11</v>
      </c>
      <c r="BD19" s="124">
        <v>40</v>
      </c>
      <c r="BE19" s="124">
        <v>0</v>
      </c>
      <c r="BF19" s="124">
        <v>1.65</v>
      </c>
      <c r="BG19" s="127">
        <f t="shared" si="28"/>
        <v>527.59</v>
      </c>
      <c r="BH19" s="124">
        <f t="shared" si="35"/>
        <v>685.3</v>
      </c>
      <c r="BI19" s="124">
        <f t="shared" si="36"/>
        <v>685.3</v>
      </c>
      <c r="BJ19" s="124">
        <f t="shared" si="37"/>
        <v>685.3</v>
      </c>
      <c r="BK19" s="124">
        <f t="shared" si="38"/>
        <v>685.3</v>
      </c>
    </row>
    <row r="20" spans="1:63" ht="15">
      <c r="A20" s="18" t="s">
        <v>80</v>
      </c>
      <c r="B20" s="103"/>
      <c r="C20" s="20"/>
      <c r="D20" s="193" t="s">
        <v>8</v>
      </c>
      <c r="E20" s="193">
        <v>3</v>
      </c>
      <c r="F20" s="176">
        <v>40</v>
      </c>
      <c r="G20" s="196">
        <v>20.7</v>
      </c>
      <c r="H20" s="74">
        <f>F20*G20</f>
        <v>828</v>
      </c>
      <c r="I20" s="35" t="str">
        <f t="shared" si="0"/>
        <v/>
      </c>
      <c r="J20" s="78">
        <v>7</v>
      </c>
      <c r="K20" s="94">
        <f>ROUND(G20*1.5,2)</f>
        <v>31.05</v>
      </c>
      <c r="L20" s="74">
        <f>J20*K20</f>
        <v>217.35</v>
      </c>
      <c r="M20" s="35" t="str">
        <f t="shared" si="1"/>
        <v/>
      </c>
      <c r="N20" s="138">
        <f t="shared" si="2"/>
        <v>1045.3499999999999</v>
      </c>
      <c r="O20" s="36" t="str">
        <f t="shared" si="3"/>
        <v/>
      </c>
      <c r="P20" s="142">
        <f t="shared" si="29"/>
        <v>64.81</v>
      </c>
      <c r="Q20" s="36" t="str">
        <f t="shared" si="4"/>
        <v/>
      </c>
      <c r="R20" s="143">
        <f t="shared" si="5"/>
        <v>15.16</v>
      </c>
      <c r="S20" s="36" t="str">
        <f t="shared" si="6"/>
        <v/>
      </c>
      <c r="T20" s="147">
        <v>71</v>
      </c>
      <c r="U20" s="36" t="str">
        <f t="shared" si="7"/>
        <v/>
      </c>
      <c r="V20" s="143">
        <f t="shared" si="30"/>
        <v>32.090000000000003</v>
      </c>
      <c r="W20" s="36" t="str">
        <f t="shared" si="8"/>
        <v/>
      </c>
      <c r="X20" s="25">
        <f t="shared" si="31"/>
        <v>0.73</v>
      </c>
      <c r="Y20" s="36" t="str">
        <f t="shared" si="9"/>
        <v/>
      </c>
      <c r="Z20" s="142">
        <f t="shared" si="32"/>
        <v>13.9</v>
      </c>
      <c r="AA20" s="36" t="str">
        <f t="shared" si="10"/>
        <v/>
      </c>
      <c r="AB20" s="142">
        <v>60</v>
      </c>
      <c r="AC20" s="36" t="str">
        <f t="shared" si="11"/>
        <v/>
      </c>
      <c r="AD20" s="142">
        <v>0.85</v>
      </c>
      <c r="AE20" s="169" t="str">
        <f t="shared" si="12"/>
        <v/>
      </c>
      <c r="AF20" s="143">
        <v>1.65</v>
      </c>
      <c r="AG20" s="169" t="str">
        <f t="shared" si="13"/>
        <v/>
      </c>
      <c r="AH20" s="189">
        <v>316</v>
      </c>
      <c r="AI20" s="188">
        <f t="shared" si="14"/>
        <v>785.16</v>
      </c>
      <c r="AJ20" s="36" t="str">
        <f t="shared" si="15"/>
        <v/>
      </c>
      <c r="AK20" s="143">
        <f t="shared" si="16"/>
        <v>1045.3499999999999</v>
      </c>
      <c r="AL20" s="36" t="str">
        <f t="shared" si="17"/>
        <v/>
      </c>
      <c r="AM20" s="143">
        <f t="shared" si="18"/>
        <v>1045.3499999999999</v>
      </c>
      <c r="AN20" s="36" t="str">
        <f t="shared" si="19"/>
        <v/>
      </c>
      <c r="AO20" s="143">
        <f t="shared" si="20"/>
        <v>1045.3499999999999</v>
      </c>
      <c r="AP20" s="36" t="str">
        <f t="shared" si="21"/>
        <v/>
      </c>
      <c r="AQ20" s="143">
        <f t="shared" si="22"/>
        <v>1045.3499999999999</v>
      </c>
      <c r="AR20" s="36" t="str">
        <f t="shared" si="23"/>
        <v/>
      </c>
      <c r="AS20" s="99"/>
      <c r="AT20" s="123">
        <f>20.7*40</f>
        <v>828</v>
      </c>
      <c r="AU20" s="206">
        <f>ROUND(20.7*1.5,2)*7</f>
        <v>217.35</v>
      </c>
      <c r="AV20" s="123"/>
      <c r="AW20" s="123">
        <f t="shared" si="33"/>
        <v>1045.3499999999999</v>
      </c>
      <c r="AX20" s="124">
        <f t="shared" si="34"/>
        <v>64.81</v>
      </c>
      <c r="AY20" s="124">
        <f t="shared" si="24"/>
        <v>15.16</v>
      </c>
      <c r="AZ20" s="128">
        <v>71</v>
      </c>
      <c r="BA20" s="125">
        <f t="shared" si="25"/>
        <v>32.090000000000003</v>
      </c>
      <c r="BB20" s="125">
        <f t="shared" si="26"/>
        <v>0.73</v>
      </c>
      <c r="BC20" s="125">
        <f t="shared" si="27"/>
        <v>13.9</v>
      </c>
      <c r="BD20" s="124">
        <v>60</v>
      </c>
      <c r="BE20" s="124">
        <v>0.85</v>
      </c>
      <c r="BF20" s="124">
        <v>1.65</v>
      </c>
      <c r="BG20" s="127">
        <f t="shared" si="28"/>
        <v>785.16</v>
      </c>
      <c r="BH20" s="124">
        <f t="shared" si="35"/>
        <v>1045.3499999999999</v>
      </c>
      <c r="BI20" s="124">
        <f t="shared" si="36"/>
        <v>1045.3499999999999</v>
      </c>
      <c r="BJ20" s="124">
        <f t="shared" si="37"/>
        <v>1045.3499999999999</v>
      </c>
      <c r="BK20" s="124">
        <f t="shared" si="38"/>
        <v>1045.3499999999999</v>
      </c>
    </row>
    <row r="21" spans="1:63" ht="15">
      <c r="A21" s="18" t="s">
        <v>81</v>
      </c>
      <c r="B21" s="103"/>
      <c r="C21" s="20"/>
      <c r="D21" s="193" t="s">
        <v>9</v>
      </c>
      <c r="E21" s="193">
        <v>2</v>
      </c>
      <c r="F21" s="176">
        <v>40</v>
      </c>
      <c r="G21" s="196">
        <v>23.8</v>
      </c>
      <c r="H21" s="74">
        <f>F21*G21</f>
        <v>952</v>
      </c>
      <c r="I21" s="35" t="str">
        <f t="shared" si="0"/>
        <v/>
      </c>
      <c r="J21" s="78"/>
      <c r="K21" s="94"/>
      <c r="L21" s="74"/>
      <c r="M21" s="35" t="str">
        <f t="shared" si="1"/>
        <v/>
      </c>
      <c r="N21" s="138">
        <f t="shared" si="2"/>
        <v>952</v>
      </c>
      <c r="O21" s="36" t="str">
        <f t="shared" si="3"/>
        <v/>
      </c>
      <c r="P21" s="142">
        <f t="shared" si="29"/>
        <v>59.02</v>
      </c>
      <c r="Q21" s="36" t="str">
        <f t="shared" si="4"/>
        <v/>
      </c>
      <c r="R21" s="143">
        <f t="shared" si="5"/>
        <v>13.8</v>
      </c>
      <c r="S21" s="36" t="str">
        <f t="shared" si="6"/>
        <v/>
      </c>
      <c r="T21" s="147">
        <v>103</v>
      </c>
      <c r="U21" s="36" t="str">
        <f t="shared" si="7"/>
        <v/>
      </c>
      <c r="V21" s="143">
        <f t="shared" si="30"/>
        <v>29.23</v>
      </c>
      <c r="W21" s="36" t="str">
        <f t="shared" si="8"/>
        <v/>
      </c>
      <c r="X21" s="25">
        <f t="shared" si="31"/>
        <v>0.67</v>
      </c>
      <c r="Y21" s="36" t="str">
        <f t="shared" si="9"/>
        <v/>
      </c>
      <c r="Z21" s="142">
        <f t="shared" si="32"/>
        <v>12.66</v>
      </c>
      <c r="AA21" s="36" t="str">
        <f t="shared" si="10"/>
        <v/>
      </c>
      <c r="AB21" s="142">
        <v>20</v>
      </c>
      <c r="AC21" s="36" t="str">
        <f t="shared" si="11"/>
        <v/>
      </c>
      <c r="AD21" s="142">
        <v>0.85</v>
      </c>
      <c r="AE21" s="169" t="str">
        <f t="shared" si="12"/>
        <v/>
      </c>
      <c r="AF21" s="143">
        <v>1.65</v>
      </c>
      <c r="AG21" s="169" t="str">
        <f t="shared" si="13"/>
        <v/>
      </c>
      <c r="AH21" s="189">
        <v>317</v>
      </c>
      <c r="AI21" s="188">
        <f t="shared" si="14"/>
        <v>711.12</v>
      </c>
      <c r="AJ21" s="36" t="str">
        <f t="shared" si="15"/>
        <v/>
      </c>
      <c r="AK21" s="143">
        <f t="shared" si="16"/>
        <v>952</v>
      </c>
      <c r="AL21" s="36" t="str">
        <f t="shared" si="17"/>
        <v/>
      </c>
      <c r="AM21" s="143">
        <f t="shared" si="18"/>
        <v>952</v>
      </c>
      <c r="AN21" s="36" t="str">
        <f t="shared" si="19"/>
        <v/>
      </c>
      <c r="AO21" s="143">
        <f t="shared" si="20"/>
        <v>952</v>
      </c>
      <c r="AP21" s="36" t="str">
        <f t="shared" si="21"/>
        <v/>
      </c>
      <c r="AQ21" s="143">
        <f t="shared" si="22"/>
        <v>952</v>
      </c>
      <c r="AR21" s="36" t="str">
        <f t="shared" si="23"/>
        <v/>
      </c>
      <c r="AS21" s="99"/>
      <c r="AT21" s="123">
        <f>23.8*40</f>
        <v>952</v>
      </c>
      <c r="AU21" s="123"/>
      <c r="AV21" s="123"/>
      <c r="AW21" s="123">
        <f t="shared" si="33"/>
        <v>952</v>
      </c>
      <c r="AX21" s="124">
        <f t="shared" si="34"/>
        <v>59.02</v>
      </c>
      <c r="AY21" s="124">
        <f t="shared" si="24"/>
        <v>13.8</v>
      </c>
      <c r="AZ21" s="128">
        <v>103</v>
      </c>
      <c r="BA21" s="125">
        <f t="shared" si="25"/>
        <v>29.23</v>
      </c>
      <c r="BB21" s="125">
        <f t="shared" si="26"/>
        <v>0.67</v>
      </c>
      <c r="BC21" s="125">
        <f t="shared" si="27"/>
        <v>12.66</v>
      </c>
      <c r="BD21" s="124">
        <v>20</v>
      </c>
      <c r="BE21" s="124">
        <v>0.85</v>
      </c>
      <c r="BF21" s="124">
        <v>1.65</v>
      </c>
      <c r="BG21" s="127">
        <f t="shared" si="28"/>
        <v>711.12</v>
      </c>
      <c r="BH21" s="124">
        <f t="shared" si="35"/>
        <v>952</v>
      </c>
      <c r="BI21" s="124">
        <f t="shared" si="36"/>
        <v>952</v>
      </c>
      <c r="BJ21" s="124">
        <f t="shared" si="37"/>
        <v>952</v>
      </c>
      <c r="BK21" s="124">
        <f t="shared" si="38"/>
        <v>952</v>
      </c>
    </row>
    <row r="22" spans="1:63" ht="15">
      <c r="A22" s="18" t="s">
        <v>82</v>
      </c>
      <c r="B22" s="103"/>
      <c r="C22" s="20"/>
      <c r="D22" s="193" t="s">
        <v>8</v>
      </c>
      <c r="E22" s="193">
        <v>3</v>
      </c>
      <c r="F22" s="176">
        <v>40</v>
      </c>
      <c r="G22" s="71"/>
      <c r="H22" s="67">
        <v>800</v>
      </c>
      <c r="I22" s="35" t="str">
        <f t="shared" si="0"/>
        <v/>
      </c>
      <c r="J22" s="136">
        <v>1.25</v>
      </c>
      <c r="K22" s="137">
        <f>ROUND(H22/40,2)*1.5</f>
        <v>30</v>
      </c>
      <c r="L22" s="76">
        <f>J22*K22</f>
        <v>37.5</v>
      </c>
      <c r="M22" s="35" t="str">
        <f t="shared" si="1"/>
        <v/>
      </c>
      <c r="N22" s="138">
        <f t="shared" si="2"/>
        <v>837.5</v>
      </c>
      <c r="O22" s="36" t="str">
        <f t="shared" si="3"/>
        <v/>
      </c>
      <c r="P22" s="142">
        <f t="shared" si="29"/>
        <v>51.93</v>
      </c>
      <c r="Q22" s="36" t="str">
        <f t="shared" si="4"/>
        <v/>
      </c>
      <c r="R22" s="143">
        <f t="shared" si="5"/>
        <v>12.14</v>
      </c>
      <c r="S22" s="36" t="str">
        <f t="shared" si="6"/>
        <v/>
      </c>
      <c r="T22" s="147">
        <v>42</v>
      </c>
      <c r="U22" s="36" t="str">
        <f t="shared" si="7"/>
        <v/>
      </c>
      <c r="V22" s="143">
        <f t="shared" si="30"/>
        <v>25.71</v>
      </c>
      <c r="W22" s="36" t="str">
        <f t="shared" si="8"/>
        <v/>
      </c>
      <c r="X22" s="25">
        <f t="shared" si="31"/>
        <v>0.59</v>
      </c>
      <c r="Y22" s="36" t="str">
        <f t="shared" si="9"/>
        <v/>
      </c>
      <c r="Z22" s="142">
        <f t="shared" si="32"/>
        <v>11.14</v>
      </c>
      <c r="AA22" s="36" t="str">
        <f t="shared" si="10"/>
        <v/>
      </c>
      <c r="AB22" s="142">
        <v>40</v>
      </c>
      <c r="AC22" s="36" t="str">
        <f t="shared" si="11"/>
        <v/>
      </c>
      <c r="AD22" s="142">
        <v>0.85</v>
      </c>
      <c r="AE22" s="169" t="str">
        <f t="shared" si="12"/>
        <v/>
      </c>
      <c r="AF22" s="143">
        <v>1.65</v>
      </c>
      <c r="AG22" s="169" t="str">
        <f t="shared" si="13"/>
        <v/>
      </c>
      <c r="AH22" s="189">
        <v>318</v>
      </c>
      <c r="AI22" s="188">
        <f t="shared" si="14"/>
        <v>651.49</v>
      </c>
      <c r="AJ22" s="36" t="str">
        <f t="shared" si="15"/>
        <v/>
      </c>
      <c r="AK22" s="143">
        <f t="shared" si="16"/>
        <v>837.5</v>
      </c>
      <c r="AL22" s="36" t="str">
        <f t="shared" si="17"/>
        <v/>
      </c>
      <c r="AM22" s="143">
        <f t="shared" si="18"/>
        <v>837.5</v>
      </c>
      <c r="AN22" s="36" t="str">
        <f t="shared" si="19"/>
        <v/>
      </c>
      <c r="AO22" s="143">
        <f t="shared" si="20"/>
        <v>837.5</v>
      </c>
      <c r="AP22" s="36" t="str">
        <f t="shared" si="21"/>
        <v/>
      </c>
      <c r="AQ22" s="143">
        <f t="shared" si="22"/>
        <v>837.5</v>
      </c>
      <c r="AR22" s="36" t="str">
        <f t="shared" si="23"/>
        <v/>
      </c>
      <c r="AS22" s="99"/>
      <c r="AT22" s="123">
        <v>800</v>
      </c>
      <c r="AU22" s="123">
        <f>ROUND(800/40,2)*1.5*1.25</f>
        <v>37.5</v>
      </c>
      <c r="AV22" s="123"/>
      <c r="AW22" s="123">
        <f t="shared" si="33"/>
        <v>837.5</v>
      </c>
      <c r="AX22" s="124">
        <f t="shared" si="34"/>
        <v>51.93</v>
      </c>
      <c r="AY22" s="124">
        <f t="shared" si="24"/>
        <v>12.14</v>
      </c>
      <c r="AZ22" s="128">
        <v>42</v>
      </c>
      <c r="BA22" s="125">
        <f t="shared" si="25"/>
        <v>25.71</v>
      </c>
      <c r="BB22" s="125">
        <f t="shared" si="26"/>
        <v>0.59</v>
      </c>
      <c r="BC22" s="125">
        <f t="shared" si="27"/>
        <v>11.14</v>
      </c>
      <c r="BD22" s="124">
        <v>40</v>
      </c>
      <c r="BE22" s="124">
        <v>0.85</v>
      </c>
      <c r="BF22" s="124">
        <v>1.65</v>
      </c>
      <c r="BG22" s="127">
        <f t="shared" si="28"/>
        <v>651.49</v>
      </c>
      <c r="BH22" s="124">
        <f t="shared" si="35"/>
        <v>837.5</v>
      </c>
      <c r="BI22" s="124">
        <f t="shared" si="36"/>
        <v>837.5</v>
      </c>
      <c r="BJ22" s="124">
        <f t="shared" si="37"/>
        <v>837.5</v>
      </c>
      <c r="BK22" s="124">
        <f t="shared" si="38"/>
        <v>837.5</v>
      </c>
    </row>
    <row r="23" spans="1:63" ht="15">
      <c r="A23" s="18" t="s">
        <v>83</v>
      </c>
      <c r="B23" s="103"/>
      <c r="C23" s="20"/>
      <c r="D23" s="193" t="s">
        <v>8</v>
      </c>
      <c r="E23" s="193">
        <v>4</v>
      </c>
      <c r="F23" s="176">
        <v>40</v>
      </c>
      <c r="G23" s="71"/>
      <c r="H23" s="67">
        <v>780</v>
      </c>
      <c r="I23" s="35" t="str">
        <f t="shared" si="0"/>
        <v/>
      </c>
      <c r="J23" s="78"/>
      <c r="K23" s="94"/>
      <c r="L23" s="67"/>
      <c r="M23" s="35" t="str">
        <f t="shared" si="1"/>
        <v/>
      </c>
      <c r="N23" s="138">
        <f t="shared" si="2"/>
        <v>780</v>
      </c>
      <c r="O23" s="36" t="str">
        <f t="shared" si="3"/>
        <v/>
      </c>
      <c r="P23" s="142">
        <f t="shared" si="29"/>
        <v>48.36</v>
      </c>
      <c r="Q23" s="36" t="str">
        <f t="shared" si="4"/>
        <v/>
      </c>
      <c r="R23" s="143">
        <f t="shared" si="5"/>
        <v>11.31</v>
      </c>
      <c r="S23" s="36" t="str">
        <f t="shared" si="6"/>
        <v/>
      </c>
      <c r="T23" s="147">
        <v>26</v>
      </c>
      <c r="U23" s="36" t="str">
        <f t="shared" si="7"/>
        <v/>
      </c>
      <c r="V23" s="143">
        <f t="shared" si="30"/>
        <v>23.95</v>
      </c>
      <c r="W23" s="36" t="str">
        <f t="shared" si="8"/>
        <v/>
      </c>
      <c r="X23" s="25">
        <f t="shared" si="31"/>
        <v>0.55000000000000004</v>
      </c>
      <c r="Y23" s="36" t="str">
        <f t="shared" si="9"/>
        <v/>
      </c>
      <c r="Z23" s="142">
        <f t="shared" si="32"/>
        <v>10.37</v>
      </c>
      <c r="AA23" s="36" t="str">
        <f t="shared" si="10"/>
        <v/>
      </c>
      <c r="AB23" s="142">
        <v>50</v>
      </c>
      <c r="AC23" s="36" t="str">
        <f t="shared" si="11"/>
        <v/>
      </c>
      <c r="AD23" s="142">
        <v>0.85</v>
      </c>
      <c r="AE23" s="169" t="str">
        <f t="shared" si="12"/>
        <v/>
      </c>
      <c r="AF23" s="143">
        <v>1.65</v>
      </c>
      <c r="AG23" s="169" t="str">
        <f t="shared" si="13"/>
        <v/>
      </c>
      <c r="AH23" s="189">
        <v>319</v>
      </c>
      <c r="AI23" s="188">
        <f t="shared" si="14"/>
        <v>606.96</v>
      </c>
      <c r="AJ23" s="36" t="str">
        <f t="shared" si="15"/>
        <v/>
      </c>
      <c r="AK23" s="143">
        <f t="shared" si="16"/>
        <v>780</v>
      </c>
      <c r="AL23" s="36" t="str">
        <f t="shared" si="17"/>
        <v/>
      </c>
      <c r="AM23" s="143">
        <f t="shared" si="18"/>
        <v>780</v>
      </c>
      <c r="AN23" s="36" t="str">
        <f t="shared" si="19"/>
        <v/>
      </c>
      <c r="AO23" s="143">
        <f t="shared" si="20"/>
        <v>780</v>
      </c>
      <c r="AP23" s="36" t="str">
        <f t="shared" si="21"/>
        <v/>
      </c>
      <c r="AQ23" s="143">
        <f t="shared" si="22"/>
        <v>780</v>
      </c>
      <c r="AR23" s="36" t="str">
        <f t="shared" si="23"/>
        <v/>
      </c>
      <c r="AS23" s="99"/>
      <c r="AT23" s="123">
        <v>780</v>
      </c>
      <c r="AU23" s="123"/>
      <c r="AV23" s="123"/>
      <c r="AW23" s="123">
        <f t="shared" si="33"/>
        <v>780</v>
      </c>
      <c r="AX23" s="124">
        <f t="shared" si="34"/>
        <v>48.36</v>
      </c>
      <c r="AY23" s="124">
        <f t="shared" si="24"/>
        <v>11.31</v>
      </c>
      <c r="AZ23" s="128">
        <v>26</v>
      </c>
      <c r="BA23" s="125">
        <f t="shared" si="25"/>
        <v>23.95</v>
      </c>
      <c r="BB23" s="125">
        <f t="shared" si="26"/>
        <v>0.55000000000000004</v>
      </c>
      <c r="BC23" s="125">
        <f t="shared" si="27"/>
        <v>10.37</v>
      </c>
      <c r="BD23" s="124">
        <v>50</v>
      </c>
      <c r="BE23" s="124">
        <v>0.85</v>
      </c>
      <c r="BF23" s="124">
        <v>1.65</v>
      </c>
      <c r="BG23" s="127">
        <f t="shared" si="28"/>
        <v>606.96</v>
      </c>
      <c r="BH23" s="124">
        <f t="shared" si="35"/>
        <v>780</v>
      </c>
      <c r="BI23" s="124">
        <f t="shared" si="36"/>
        <v>780</v>
      </c>
      <c r="BJ23" s="124">
        <f t="shared" si="37"/>
        <v>780</v>
      </c>
      <c r="BK23" s="124">
        <f t="shared" si="38"/>
        <v>780</v>
      </c>
    </row>
    <row r="24" spans="1:63" ht="15">
      <c r="A24" s="18" t="s">
        <v>84</v>
      </c>
      <c r="B24" s="103"/>
      <c r="C24" s="20"/>
      <c r="D24" s="193" t="s">
        <v>9</v>
      </c>
      <c r="E24" s="193">
        <v>1</v>
      </c>
      <c r="F24" s="176">
        <v>40</v>
      </c>
      <c r="G24" s="71"/>
      <c r="H24" s="67">
        <f>ROUND(3500*12/52,2)</f>
        <v>807.69</v>
      </c>
      <c r="I24" s="35" t="str">
        <f t="shared" si="0"/>
        <v/>
      </c>
      <c r="J24" s="78"/>
      <c r="K24" s="94"/>
      <c r="L24" s="67"/>
      <c r="M24" s="35" t="str">
        <f t="shared" si="1"/>
        <v/>
      </c>
      <c r="N24" s="138">
        <f t="shared" si="2"/>
        <v>807.69</v>
      </c>
      <c r="O24" s="36" t="str">
        <f t="shared" si="3"/>
        <v/>
      </c>
      <c r="P24" s="142">
        <f t="shared" si="29"/>
        <v>50.08</v>
      </c>
      <c r="Q24" s="36" t="str">
        <f t="shared" si="4"/>
        <v/>
      </c>
      <c r="R24" s="143">
        <f t="shared" si="5"/>
        <v>11.71</v>
      </c>
      <c r="S24" s="36" t="str">
        <f t="shared" si="6"/>
        <v/>
      </c>
      <c r="T24" s="147">
        <v>86</v>
      </c>
      <c r="U24" s="36" t="str">
        <f t="shared" si="7"/>
        <v/>
      </c>
      <c r="V24" s="143">
        <f t="shared" si="30"/>
        <v>24.8</v>
      </c>
      <c r="W24" s="36" t="str">
        <f t="shared" si="8"/>
        <v/>
      </c>
      <c r="X24" s="25">
        <f t="shared" si="31"/>
        <v>0.56999999999999995</v>
      </c>
      <c r="Y24" s="36" t="str">
        <f t="shared" si="9"/>
        <v/>
      </c>
      <c r="Z24" s="142">
        <f t="shared" si="32"/>
        <v>10.74</v>
      </c>
      <c r="AA24" s="36" t="str">
        <f t="shared" si="10"/>
        <v/>
      </c>
      <c r="AB24" s="142">
        <v>50</v>
      </c>
      <c r="AC24" s="36" t="str">
        <f t="shared" si="11"/>
        <v/>
      </c>
      <c r="AD24" s="142">
        <v>0</v>
      </c>
      <c r="AE24" s="169" t="str">
        <f t="shared" si="12"/>
        <v/>
      </c>
      <c r="AF24" s="143">
        <v>1.65</v>
      </c>
      <c r="AG24" s="169" t="str">
        <f t="shared" si="13"/>
        <v/>
      </c>
      <c r="AH24" s="189">
        <v>320</v>
      </c>
      <c r="AI24" s="188">
        <f t="shared" si="14"/>
        <v>572.14</v>
      </c>
      <c r="AJ24" s="36" t="str">
        <f t="shared" si="15"/>
        <v/>
      </c>
      <c r="AK24" s="143">
        <f t="shared" si="16"/>
        <v>807.69</v>
      </c>
      <c r="AL24" s="36" t="str">
        <f t="shared" si="17"/>
        <v/>
      </c>
      <c r="AM24" s="143">
        <f t="shared" si="18"/>
        <v>807.69</v>
      </c>
      <c r="AN24" s="36" t="str">
        <f t="shared" si="19"/>
        <v/>
      </c>
      <c r="AO24" s="143">
        <f t="shared" si="20"/>
        <v>807.69</v>
      </c>
      <c r="AP24" s="36" t="str">
        <f t="shared" si="21"/>
        <v/>
      </c>
      <c r="AQ24" s="143">
        <f t="shared" si="22"/>
        <v>807.69</v>
      </c>
      <c r="AR24" s="36" t="str">
        <f t="shared" si="23"/>
        <v/>
      </c>
      <c r="AS24" s="99"/>
      <c r="AT24" s="123">
        <f>3500*12/52</f>
        <v>807.69</v>
      </c>
      <c r="AU24" s="123"/>
      <c r="AV24" s="123"/>
      <c r="AW24" s="123">
        <f t="shared" si="33"/>
        <v>807.69</v>
      </c>
      <c r="AX24" s="124">
        <f t="shared" si="34"/>
        <v>50.08</v>
      </c>
      <c r="AY24" s="124">
        <f t="shared" si="24"/>
        <v>11.71</v>
      </c>
      <c r="AZ24" s="128">
        <v>86</v>
      </c>
      <c r="BA24" s="125">
        <f t="shared" si="25"/>
        <v>24.8</v>
      </c>
      <c r="BB24" s="125">
        <f t="shared" si="26"/>
        <v>0.56999999999999995</v>
      </c>
      <c r="BC24" s="125">
        <f t="shared" si="27"/>
        <v>10.74</v>
      </c>
      <c r="BD24" s="124">
        <v>50</v>
      </c>
      <c r="BE24" s="124">
        <v>0</v>
      </c>
      <c r="BF24" s="124">
        <v>1.65</v>
      </c>
      <c r="BG24" s="127">
        <f t="shared" si="28"/>
        <v>572.14</v>
      </c>
      <c r="BH24" s="124">
        <f t="shared" si="35"/>
        <v>807.69</v>
      </c>
      <c r="BI24" s="124">
        <f t="shared" si="36"/>
        <v>807.69</v>
      </c>
      <c r="BJ24" s="124">
        <f t="shared" si="37"/>
        <v>807.69</v>
      </c>
      <c r="BK24" s="124">
        <f t="shared" si="38"/>
        <v>807.69</v>
      </c>
    </row>
    <row r="25" spans="1:63" ht="15">
      <c r="A25" s="18" t="s">
        <v>85</v>
      </c>
      <c r="B25" s="103"/>
      <c r="C25" s="20"/>
      <c r="D25" s="193" t="s">
        <v>8</v>
      </c>
      <c r="E25" s="193">
        <v>5</v>
      </c>
      <c r="F25" s="176">
        <v>40</v>
      </c>
      <c r="G25" s="71"/>
      <c r="H25" s="67">
        <f>ROUND(4500*12/52,2)</f>
        <v>1038.46</v>
      </c>
      <c r="I25" s="35" t="str">
        <f t="shared" si="0"/>
        <v/>
      </c>
      <c r="J25" s="78">
        <v>5</v>
      </c>
      <c r="K25" s="94">
        <f>ROUND(H25/40,2)*1.5</f>
        <v>38.94</v>
      </c>
      <c r="L25" s="74">
        <f>J25*K25</f>
        <v>194.7</v>
      </c>
      <c r="M25" s="35" t="str">
        <f t="shared" si="1"/>
        <v/>
      </c>
      <c r="N25" s="138">
        <f t="shared" si="2"/>
        <v>1233.1600000000001</v>
      </c>
      <c r="O25" s="36" t="str">
        <f t="shared" si="3"/>
        <v/>
      </c>
      <c r="P25" s="142">
        <f t="shared" si="29"/>
        <v>76.459999999999994</v>
      </c>
      <c r="Q25" s="36" t="str">
        <f t="shared" si="4"/>
        <v/>
      </c>
      <c r="R25" s="143">
        <f t="shared" si="5"/>
        <v>17.88</v>
      </c>
      <c r="S25" s="36" t="str">
        <f t="shared" si="6"/>
        <v/>
      </c>
      <c r="T25" s="147">
        <v>81</v>
      </c>
      <c r="U25" s="36" t="str">
        <f t="shared" si="7"/>
        <v/>
      </c>
      <c r="V25" s="143">
        <f t="shared" si="30"/>
        <v>37.86</v>
      </c>
      <c r="W25" s="36" t="str">
        <f t="shared" si="8"/>
        <v/>
      </c>
      <c r="X25" s="25">
        <f t="shared" si="31"/>
        <v>0.86</v>
      </c>
      <c r="Y25" s="36" t="str">
        <f t="shared" si="9"/>
        <v/>
      </c>
      <c r="Z25" s="142">
        <f t="shared" si="32"/>
        <v>16.399999999999999</v>
      </c>
      <c r="AA25" s="36" t="str">
        <f t="shared" si="10"/>
        <v/>
      </c>
      <c r="AB25" s="142">
        <v>30</v>
      </c>
      <c r="AC25" s="36" t="str">
        <f t="shared" si="11"/>
        <v/>
      </c>
      <c r="AD25" s="142">
        <v>0.85</v>
      </c>
      <c r="AE25" s="169" t="str">
        <f t="shared" si="12"/>
        <v/>
      </c>
      <c r="AF25" s="143">
        <v>1.65</v>
      </c>
      <c r="AG25" s="169" t="str">
        <f t="shared" si="13"/>
        <v/>
      </c>
      <c r="AH25" s="189">
        <v>321</v>
      </c>
      <c r="AI25" s="188">
        <f t="shared" si="14"/>
        <v>970.2</v>
      </c>
      <c r="AJ25" s="36" t="str">
        <f t="shared" si="15"/>
        <v/>
      </c>
      <c r="AK25" s="143">
        <f t="shared" si="16"/>
        <v>1233.1600000000001</v>
      </c>
      <c r="AL25" s="36" t="str">
        <f t="shared" si="17"/>
        <v/>
      </c>
      <c r="AM25" s="143">
        <f t="shared" si="18"/>
        <v>1233.1600000000001</v>
      </c>
      <c r="AN25" s="36" t="str">
        <f t="shared" si="19"/>
        <v/>
      </c>
      <c r="AO25" s="143">
        <f t="shared" si="20"/>
        <v>1233.1600000000001</v>
      </c>
      <c r="AP25" s="36" t="str">
        <f t="shared" si="21"/>
        <v/>
      </c>
      <c r="AQ25" s="143">
        <f t="shared" si="22"/>
        <v>1233.1600000000001</v>
      </c>
      <c r="AR25" s="36" t="str">
        <f t="shared" si="23"/>
        <v/>
      </c>
      <c r="AS25" s="99"/>
      <c r="AT25" s="123">
        <f>4500*12/52</f>
        <v>1038.46</v>
      </c>
      <c r="AU25" s="123">
        <f>ROUND(AT25/40,2)*1.5*5</f>
        <v>194.7</v>
      </c>
      <c r="AV25" s="123"/>
      <c r="AW25" s="123">
        <f t="shared" si="33"/>
        <v>1233.1600000000001</v>
      </c>
      <c r="AX25" s="124">
        <f t="shared" si="34"/>
        <v>76.459999999999994</v>
      </c>
      <c r="AY25" s="124">
        <f t="shared" si="24"/>
        <v>17.88</v>
      </c>
      <c r="AZ25" s="128">
        <v>81</v>
      </c>
      <c r="BA25" s="125">
        <f t="shared" si="25"/>
        <v>37.86</v>
      </c>
      <c r="BB25" s="125">
        <f t="shared" si="26"/>
        <v>0.86</v>
      </c>
      <c r="BC25" s="125">
        <f t="shared" si="27"/>
        <v>16.399999999999999</v>
      </c>
      <c r="BD25" s="124">
        <v>30</v>
      </c>
      <c r="BE25" s="124">
        <v>0.85</v>
      </c>
      <c r="BF25" s="124">
        <v>1.65</v>
      </c>
      <c r="BG25" s="127">
        <f t="shared" si="28"/>
        <v>970.2</v>
      </c>
      <c r="BH25" s="124">
        <f t="shared" si="35"/>
        <v>1233.1600000000001</v>
      </c>
      <c r="BI25" s="124">
        <f t="shared" si="36"/>
        <v>1233.1600000000001</v>
      </c>
      <c r="BJ25" s="124">
        <f t="shared" si="37"/>
        <v>1233.1600000000001</v>
      </c>
      <c r="BK25" s="124">
        <f t="shared" si="38"/>
        <v>1233.1600000000001</v>
      </c>
    </row>
    <row r="26" spans="1:63" ht="15">
      <c r="A26" s="18" t="s">
        <v>86</v>
      </c>
      <c r="B26" s="103"/>
      <c r="C26" s="20"/>
      <c r="D26" s="193" t="s">
        <v>8</v>
      </c>
      <c r="E26" s="193">
        <v>7</v>
      </c>
      <c r="F26" s="176">
        <v>40</v>
      </c>
      <c r="G26" s="71"/>
      <c r="H26" s="69">
        <f>78000/52</f>
        <v>1500</v>
      </c>
      <c r="I26" s="35" t="str">
        <f t="shared" si="0"/>
        <v/>
      </c>
      <c r="J26" s="79"/>
      <c r="K26" s="79"/>
      <c r="L26" s="69"/>
      <c r="M26" s="35" t="str">
        <f t="shared" si="1"/>
        <v/>
      </c>
      <c r="N26" s="138">
        <f t="shared" si="2"/>
        <v>1500</v>
      </c>
      <c r="O26" s="47" t="str">
        <f t="shared" si="3"/>
        <v/>
      </c>
      <c r="P26" s="142">
        <f t="shared" si="29"/>
        <v>93</v>
      </c>
      <c r="Q26" s="5" t="str">
        <f t="shared" si="4"/>
        <v/>
      </c>
      <c r="R26" s="143">
        <f t="shared" si="5"/>
        <v>21.75</v>
      </c>
      <c r="S26" s="36" t="str">
        <f t="shared" si="6"/>
        <v/>
      </c>
      <c r="T26" s="148">
        <v>89.76</v>
      </c>
      <c r="U26" s="50" t="str">
        <f t="shared" si="7"/>
        <v/>
      </c>
      <c r="V26" s="143">
        <f t="shared" si="30"/>
        <v>46.05</v>
      </c>
      <c r="W26" s="36" t="str">
        <f t="shared" si="8"/>
        <v/>
      </c>
      <c r="X26" s="25">
        <f t="shared" si="31"/>
        <v>1.05</v>
      </c>
      <c r="Y26" s="61" t="str">
        <f t="shared" si="9"/>
        <v/>
      </c>
      <c r="Z26" s="149">
        <f t="shared" si="32"/>
        <v>19.95</v>
      </c>
      <c r="AA26" s="36" t="str">
        <f t="shared" si="10"/>
        <v/>
      </c>
      <c r="AB26" s="149">
        <v>80</v>
      </c>
      <c r="AC26" s="36" t="str">
        <f t="shared" si="11"/>
        <v/>
      </c>
      <c r="AD26" s="149">
        <v>0.85</v>
      </c>
      <c r="AE26" s="170" t="str">
        <f t="shared" si="12"/>
        <v/>
      </c>
      <c r="AF26" s="143">
        <v>1.65</v>
      </c>
      <c r="AG26" s="170" t="str">
        <f t="shared" si="13"/>
        <v/>
      </c>
      <c r="AH26" s="189">
        <v>322</v>
      </c>
      <c r="AI26" s="188">
        <f t="shared" si="14"/>
        <v>1145.94</v>
      </c>
      <c r="AJ26" s="36" t="str">
        <f t="shared" si="15"/>
        <v/>
      </c>
      <c r="AK26" s="143">
        <f t="shared" si="16"/>
        <v>1500</v>
      </c>
      <c r="AL26" s="61" t="str">
        <f t="shared" si="17"/>
        <v/>
      </c>
      <c r="AM26" s="143">
        <f t="shared" si="18"/>
        <v>1500</v>
      </c>
      <c r="AN26" s="61" t="str">
        <f t="shared" si="19"/>
        <v/>
      </c>
      <c r="AO26" s="143">
        <f t="shared" si="20"/>
        <v>1500</v>
      </c>
      <c r="AP26" s="36" t="str">
        <f t="shared" si="21"/>
        <v/>
      </c>
      <c r="AQ26" s="143">
        <f t="shared" si="22"/>
        <v>1500</v>
      </c>
      <c r="AR26" s="36" t="str">
        <f t="shared" si="23"/>
        <v/>
      </c>
      <c r="AS26" s="99"/>
      <c r="AT26" s="123">
        <f>78000/52</f>
        <v>1500</v>
      </c>
      <c r="AU26" s="123"/>
      <c r="AV26" s="123"/>
      <c r="AW26" s="123">
        <f t="shared" si="33"/>
        <v>1500</v>
      </c>
      <c r="AX26" s="124">
        <f t="shared" si="34"/>
        <v>93</v>
      </c>
      <c r="AY26" s="124">
        <f t="shared" si="24"/>
        <v>21.75</v>
      </c>
      <c r="AZ26" s="129">
        <v>89.76</v>
      </c>
      <c r="BA26" s="125">
        <f t="shared" si="25"/>
        <v>46.05</v>
      </c>
      <c r="BB26" s="125">
        <f t="shared" si="26"/>
        <v>1.05</v>
      </c>
      <c r="BC26" s="125">
        <f t="shared" si="27"/>
        <v>19.95</v>
      </c>
      <c r="BD26" s="130">
        <v>80</v>
      </c>
      <c r="BE26" s="130">
        <v>0.85</v>
      </c>
      <c r="BF26" s="130">
        <v>1.65</v>
      </c>
      <c r="BG26" s="127">
        <f t="shared" si="28"/>
        <v>1145.94</v>
      </c>
      <c r="BH26" s="130">
        <f t="shared" si="35"/>
        <v>1500</v>
      </c>
      <c r="BI26" s="131">
        <f t="shared" si="36"/>
        <v>1500</v>
      </c>
      <c r="BJ26" s="131">
        <f t="shared" si="37"/>
        <v>1500</v>
      </c>
      <c r="BK26" s="131">
        <f t="shared" si="38"/>
        <v>1500</v>
      </c>
    </row>
    <row r="27" spans="1:63" ht="15.5" thickBot="1">
      <c r="A27" s="18" t="s">
        <v>14</v>
      </c>
      <c r="B27" s="103"/>
      <c r="C27" s="20"/>
      <c r="D27" s="19"/>
      <c r="E27" s="19"/>
      <c r="F27" s="65"/>
      <c r="G27" s="19"/>
      <c r="H27" s="135">
        <f>SUM(H17:H26)</f>
        <v>8901.4500000000007</v>
      </c>
      <c r="I27" s="37" t="str">
        <f t="shared" si="0"/>
        <v/>
      </c>
      <c r="J27" s="100"/>
      <c r="K27" s="101"/>
      <c r="L27" s="135">
        <f>SUM(L17:L26)</f>
        <v>738.35</v>
      </c>
      <c r="M27" s="37" t="str">
        <f t="shared" si="1"/>
        <v/>
      </c>
      <c r="N27" s="139">
        <f>SUM(N17:N26)</f>
        <v>9639.7999999999993</v>
      </c>
      <c r="O27" s="37" t="str">
        <f t="shared" si="3"/>
        <v/>
      </c>
      <c r="P27" s="139">
        <f>SUM(P17:P26)</f>
        <v>597.67999999999995</v>
      </c>
      <c r="Q27" s="37" t="str">
        <f t="shared" si="4"/>
        <v/>
      </c>
      <c r="R27" s="139">
        <f>SUM(R17:R26)</f>
        <v>139.77000000000001</v>
      </c>
      <c r="S27" s="37" t="str">
        <f t="shared" si="6"/>
        <v/>
      </c>
      <c r="T27" s="139">
        <f>SUM(T17:T26)</f>
        <v>772.76</v>
      </c>
      <c r="U27" s="37" t="str">
        <f t="shared" si="7"/>
        <v/>
      </c>
      <c r="V27" s="139">
        <f>SUM(V17:V26)</f>
        <v>295.95999999999998</v>
      </c>
      <c r="W27" s="37" t="str">
        <f t="shared" si="8"/>
        <v/>
      </c>
      <c r="X27" s="70">
        <f>SUM(X17:X26)</f>
        <v>6.76</v>
      </c>
      <c r="Y27" s="37" t="str">
        <f t="shared" si="9"/>
        <v/>
      </c>
      <c r="Z27" s="139">
        <f>SUM(Z17:Z26)</f>
        <v>128.19</v>
      </c>
      <c r="AA27" s="37" t="str">
        <f t="shared" si="10"/>
        <v/>
      </c>
      <c r="AB27" s="139">
        <f>SUM(AB17:AB26)</f>
        <v>440</v>
      </c>
      <c r="AC27" s="37" t="str">
        <f t="shared" si="11"/>
        <v/>
      </c>
      <c r="AD27" s="139">
        <f>SUM(AD17:AD26)</f>
        <v>6.8</v>
      </c>
      <c r="AE27" s="171" t="str">
        <f t="shared" si="12"/>
        <v/>
      </c>
      <c r="AF27" s="139">
        <f>SUM(AF17:AF26)</f>
        <v>16.5</v>
      </c>
      <c r="AG27" s="171" t="str">
        <f t="shared" si="13"/>
        <v/>
      </c>
      <c r="AH27" s="190"/>
      <c r="AI27" s="139">
        <f>SUM(AI17:AI26)</f>
        <v>7235.38</v>
      </c>
      <c r="AJ27" s="37" t="str">
        <f t="shared" si="15"/>
        <v/>
      </c>
      <c r="AK27" s="139">
        <f>SUM(AK17:AK26)</f>
        <v>9639.7999999999993</v>
      </c>
      <c r="AL27" s="37" t="str">
        <f t="shared" si="17"/>
        <v/>
      </c>
      <c r="AM27" s="139">
        <f>SUM(AM17:AM26)</f>
        <v>9639.7999999999993</v>
      </c>
      <c r="AN27" s="37" t="str">
        <f t="shared" si="19"/>
        <v/>
      </c>
      <c r="AO27" s="139">
        <f>SUM(AO17:AO26)</f>
        <v>9639.7999999999993</v>
      </c>
      <c r="AP27" s="37" t="str">
        <f t="shared" si="21"/>
        <v/>
      </c>
      <c r="AQ27" s="139">
        <f>SUM(AQ17:AQ26)</f>
        <v>9639.7999999999993</v>
      </c>
      <c r="AR27" s="37" t="str">
        <f t="shared" si="23"/>
        <v/>
      </c>
      <c r="AS27" s="99"/>
      <c r="AT27" s="70">
        <f>SUM(AT17:AT26)</f>
        <v>8901.4500000000007</v>
      </c>
      <c r="AU27" s="132">
        <f>SUM(AU17:AU26)</f>
        <v>738.35</v>
      </c>
      <c r="AV27" s="141"/>
      <c r="AW27" s="132">
        <f>SUM(AW17:AW26)</f>
        <v>9639.7999999999993</v>
      </c>
      <c r="AX27" s="132">
        <f t="shared" ref="AX27:BK27" si="39">SUM(AX17:AX26)</f>
        <v>597.67999999999995</v>
      </c>
      <c r="AY27" s="132">
        <f t="shared" si="39"/>
        <v>139.77000000000001</v>
      </c>
      <c r="AZ27" s="132">
        <f t="shared" si="39"/>
        <v>772.76</v>
      </c>
      <c r="BA27" s="132">
        <f t="shared" si="39"/>
        <v>295.95999999999998</v>
      </c>
      <c r="BB27" s="132">
        <f t="shared" si="39"/>
        <v>6.76</v>
      </c>
      <c r="BC27" s="132">
        <f t="shared" si="39"/>
        <v>128.19</v>
      </c>
      <c r="BD27" s="132">
        <f t="shared" si="39"/>
        <v>440</v>
      </c>
      <c r="BE27" s="132">
        <f t="shared" si="39"/>
        <v>6.8</v>
      </c>
      <c r="BF27" s="132">
        <f t="shared" si="39"/>
        <v>16.5</v>
      </c>
      <c r="BG27" s="132">
        <f t="shared" si="39"/>
        <v>7235.38</v>
      </c>
      <c r="BH27" s="132">
        <f t="shared" si="39"/>
        <v>9639.7999999999993</v>
      </c>
      <c r="BI27" s="132">
        <f t="shared" si="39"/>
        <v>9639.7999999999993</v>
      </c>
      <c r="BJ27" s="132">
        <f t="shared" si="39"/>
        <v>9639.7999999999993</v>
      </c>
      <c r="BK27" s="132">
        <f t="shared" si="39"/>
        <v>9639.7999999999993</v>
      </c>
    </row>
    <row r="28" spans="1:63" ht="13" thickTop="1"/>
    <row r="30" spans="1:63" ht="13">
      <c r="C30" s="211" t="s">
        <v>25</v>
      </c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R30" s="4"/>
      <c r="S30" s="4"/>
      <c r="T30" s="105" t="s">
        <v>96</v>
      </c>
      <c r="U30" s="4"/>
      <c r="V30" s="4"/>
      <c r="W30" s="4"/>
      <c r="X30" s="105" t="s">
        <v>93</v>
      </c>
      <c r="Y30" s="4"/>
    </row>
    <row r="31" spans="1:63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R31" s="4"/>
      <c r="S31" s="4"/>
      <c r="T31" s="105" t="s">
        <v>97</v>
      </c>
      <c r="U31" s="4"/>
      <c r="V31" s="105" t="s">
        <v>98</v>
      </c>
      <c r="W31" s="4"/>
      <c r="X31" s="105" t="s">
        <v>100</v>
      </c>
      <c r="Y31" s="4"/>
    </row>
    <row r="32" spans="1:63" ht="15.5">
      <c r="C32" s="58"/>
      <c r="D32" s="213" t="s">
        <v>22</v>
      </c>
      <c r="E32" s="213"/>
      <c r="F32" s="58"/>
      <c r="G32" s="213" t="s">
        <v>21</v>
      </c>
      <c r="H32" s="213"/>
      <c r="I32" s="213"/>
      <c r="J32" s="213"/>
      <c r="K32" s="57"/>
      <c r="L32" s="58" t="s">
        <v>23</v>
      </c>
      <c r="M32" s="57"/>
      <c r="N32" s="58" t="s">
        <v>24</v>
      </c>
      <c r="O32" s="57"/>
      <c r="R32" s="4" t="s">
        <v>99</v>
      </c>
      <c r="S32" s="4"/>
      <c r="T32" s="185">
        <f>AO27</f>
        <v>9639.7999999999993</v>
      </c>
      <c r="U32" s="155" t="str">
        <f>IF(OR(T32="",T32=BB36),"","*")</f>
        <v/>
      </c>
      <c r="V32" s="186">
        <v>6.0000000000000001E-3</v>
      </c>
      <c r="W32" s="155" t="str">
        <f>IF(OR(V32="",V32=BC36),"","*")</f>
        <v/>
      </c>
      <c r="X32" s="185">
        <f>T32*V32</f>
        <v>57.84</v>
      </c>
      <c r="Y32" s="155" t="str">
        <f>IF(OR(X32="",X32=BD36),"","*")</f>
        <v/>
      </c>
    </row>
    <row r="33" spans="3:59" ht="13">
      <c r="C33" s="4"/>
      <c r="D33" s="4" t="s">
        <v>20</v>
      </c>
      <c r="E33" s="4"/>
      <c r="F33" s="4"/>
      <c r="G33" s="214"/>
      <c r="H33" s="214"/>
      <c r="I33" s="214"/>
      <c r="J33" s="214"/>
      <c r="K33" s="4"/>
      <c r="L33" s="4"/>
      <c r="M33" s="4"/>
      <c r="N33" s="4"/>
      <c r="O33" s="4"/>
      <c r="R33" s="4"/>
      <c r="S33" s="4"/>
      <c r="T33" s="160"/>
      <c r="U33" s="4"/>
      <c r="V33" s="160"/>
      <c r="W33" s="4"/>
      <c r="X33" s="161" t="s">
        <v>101</v>
      </c>
      <c r="Y33" s="4"/>
    </row>
    <row r="34" spans="3:59" ht="15.5">
      <c r="C34" s="4"/>
      <c r="D34" s="208" t="s">
        <v>70</v>
      </c>
      <c r="E34" s="209"/>
      <c r="F34" s="4" t="s">
        <v>53</v>
      </c>
      <c r="G34" s="4"/>
      <c r="H34" s="4"/>
      <c r="I34" s="4"/>
      <c r="J34" s="4"/>
      <c r="K34" s="39"/>
      <c r="L34" s="166">
        <f>N27</f>
        <v>9639.7999999999993</v>
      </c>
      <c r="M34" s="39" t="str">
        <f>IF(OR(L34="",L34=AU34),"","*")</f>
        <v/>
      </c>
      <c r="N34" s="160"/>
      <c r="O34" s="4"/>
      <c r="R34" s="4" t="s">
        <v>16</v>
      </c>
      <c r="S34" s="4"/>
      <c r="T34" s="185">
        <f>AQ27</f>
        <v>9639.7999999999993</v>
      </c>
      <c r="U34" s="155" t="str">
        <f>IF(OR(T34="",T34=BB38),"","*")</f>
        <v/>
      </c>
      <c r="V34" s="199">
        <v>3.6784999999999998E-2</v>
      </c>
      <c r="W34" s="155" t="str">
        <f>IF(OR(V34="",V34=BC38),"","*")</f>
        <v/>
      </c>
      <c r="X34" s="185">
        <f>T34*V34</f>
        <v>354.6</v>
      </c>
      <c r="Y34" s="155" t="str">
        <f>IF(OR(X34="",X34=BD38),"","*")</f>
        <v/>
      </c>
      <c r="AU34" s="56">
        <f>AW27</f>
        <v>9639.7999999999993</v>
      </c>
      <c r="AW34" s="4"/>
      <c r="AZ34" s="1"/>
      <c r="BA34" s="1"/>
      <c r="BB34" s="105" t="s">
        <v>96</v>
      </c>
      <c r="BC34" s="4"/>
      <c r="BD34" s="4" t="s">
        <v>93</v>
      </c>
      <c r="BE34" s="1"/>
      <c r="BF34" s="1"/>
      <c r="BG34" s="1"/>
    </row>
    <row r="35" spans="3:59" ht="15">
      <c r="C35" s="4"/>
      <c r="D35" s="208"/>
      <c r="E35" s="209"/>
      <c r="F35" s="59"/>
      <c r="G35" s="4" t="s">
        <v>54</v>
      </c>
      <c r="H35" s="4"/>
      <c r="I35" s="4"/>
      <c r="J35" s="4"/>
      <c r="K35" s="39"/>
      <c r="L35" s="160"/>
      <c r="M35" s="167" t="s">
        <v>52</v>
      </c>
      <c r="N35" s="166">
        <f>P27</f>
        <v>597.67999999999995</v>
      </c>
      <c r="O35" s="39" t="str">
        <f t="shared" ref="O35:O44" si="40">IF(OR(N35="",N35=AW35),"","*")</f>
        <v/>
      </c>
      <c r="AU35" s="4"/>
      <c r="AW35" s="56">
        <f>AX27</f>
        <v>597.67999999999995</v>
      </c>
      <c r="AZ35" s="1"/>
      <c r="BA35" s="1"/>
      <c r="BB35" s="105" t="s">
        <v>97</v>
      </c>
      <c r="BC35" s="4" t="s">
        <v>98</v>
      </c>
      <c r="BD35" s="4" t="s">
        <v>100</v>
      </c>
      <c r="BE35" s="1"/>
      <c r="BF35" s="1"/>
      <c r="BG35" s="1"/>
    </row>
    <row r="36" spans="3:59" ht="15">
      <c r="C36" s="4"/>
      <c r="D36" s="4"/>
      <c r="E36" s="4"/>
      <c r="F36" s="59"/>
      <c r="G36" s="4" t="s">
        <v>55</v>
      </c>
      <c r="H36" s="4"/>
      <c r="I36" s="4"/>
      <c r="J36" s="4"/>
      <c r="K36" s="39"/>
      <c r="L36" s="160"/>
      <c r="M36" s="167" t="s">
        <v>52</v>
      </c>
      <c r="N36" s="166">
        <f>R27</f>
        <v>139.77000000000001</v>
      </c>
      <c r="O36" s="39" t="str">
        <f t="shared" si="40"/>
        <v/>
      </c>
      <c r="AU36" s="4"/>
      <c r="AW36" s="56">
        <f>AY27</f>
        <v>139.77000000000001</v>
      </c>
      <c r="AZ36" s="1"/>
      <c r="BA36" s="1"/>
      <c r="BB36" s="151">
        <f>BJ27</f>
        <v>9639.7999999999993</v>
      </c>
      <c r="BC36" s="150">
        <f>BJ15</f>
        <v>6.0000000000000001E-3</v>
      </c>
      <c r="BD36" s="153">
        <f>BB36*BC36</f>
        <v>57.84</v>
      </c>
      <c r="BE36" s="1"/>
      <c r="BF36" s="1"/>
      <c r="BG36" s="1"/>
    </row>
    <row r="37" spans="3:59" ht="15">
      <c r="C37" s="4"/>
      <c r="D37" s="4"/>
      <c r="E37" s="4"/>
      <c r="F37" s="59"/>
      <c r="G37" s="4" t="s">
        <v>56</v>
      </c>
      <c r="H37" s="4"/>
      <c r="I37" s="4"/>
      <c r="J37" s="4"/>
      <c r="K37" s="39"/>
      <c r="L37" s="160"/>
      <c r="M37" s="167" t="s">
        <v>52</v>
      </c>
      <c r="N37" s="166">
        <f>T27</f>
        <v>772.76</v>
      </c>
      <c r="O37" s="39" t="str">
        <f t="shared" si="40"/>
        <v/>
      </c>
      <c r="AU37" s="4"/>
      <c r="AW37" s="56">
        <f>AZ27</f>
        <v>772.76</v>
      </c>
      <c r="AZ37" s="1"/>
      <c r="BA37" s="1"/>
      <c r="BB37" s="152"/>
      <c r="BC37" s="4"/>
      <c r="BD37" s="154" t="s">
        <v>101</v>
      </c>
      <c r="BE37" s="1"/>
      <c r="BF37" s="1"/>
      <c r="BG37" s="1"/>
    </row>
    <row r="38" spans="3:59" ht="15">
      <c r="C38" s="4"/>
      <c r="D38" s="4"/>
      <c r="E38" s="4"/>
      <c r="F38" s="4"/>
      <c r="G38" s="4" t="s">
        <v>57</v>
      </c>
      <c r="H38" s="4"/>
      <c r="I38" s="4"/>
      <c r="J38" s="4"/>
      <c r="K38" s="39"/>
      <c r="L38" s="160"/>
      <c r="M38" s="160"/>
      <c r="N38" s="166">
        <f>V27</f>
        <v>295.95999999999998</v>
      </c>
      <c r="O38" s="39" t="str">
        <f t="shared" si="40"/>
        <v/>
      </c>
      <c r="AU38" s="4"/>
      <c r="AW38" s="56">
        <f>BA27</f>
        <v>295.95999999999998</v>
      </c>
      <c r="AZ38" s="1"/>
      <c r="BA38" s="1"/>
      <c r="BB38" s="152">
        <f>BK27</f>
        <v>9639.7999999999993</v>
      </c>
      <c r="BC38" s="150">
        <f>BK15</f>
        <v>3.6784999999999998E-2</v>
      </c>
      <c r="BD38" s="153">
        <f>BB38*BC38</f>
        <v>354.6</v>
      </c>
      <c r="BE38" s="1"/>
      <c r="BF38" s="1"/>
      <c r="BG38" s="1"/>
    </row>
    <row r="39" spans="3:59" ht="15">
      <c r="C39" s="4"/>
      <c r="D39" s="208"/>
      <c r="E39" s="209"/>
      <c r="F39" s="59"/>
      <c r="G39" s="4" t="s">
        <v>58</v>
      </c>
      <c r="H39" s="4"/>
      <c r="I39" s="4"/>
      <c r="J39" s="4"/>
      <c r="K39" s="39"/>
      <c r="L39" s="160"/>
      <c r="M39" s="167" t="s">
        <v>52</v>
      </c>
      <c r="N39" s="166">
        <f>X27</f>
        <v>6.76</v>
      </c>
      <c r="O39" s="39" t="str">
        <f t="shared" si="40"/>
        <v/>
      </c>
      <c r="AU39" s="4"/>
      <c r="AW39" s="56">
        <f>BB27</f>
        <v>6.76</v>
      </c>
    </row>
    <row r="40" spans="3:59" ht="15">
      <c r="C40" s="4"/>
      <c r="D40" s="4"/>
      <c r="E40" s="4"/>
      <c r="F40" s="59"/>
      <c r="G40" s="4" t="s">
        <v>59</v>
      </c>
      <c r="H40" s="4"/>
      <c r="I40" s="4"/>
      <c r="J40" s="4"/>
      <c r="K40" s="39"/>
      <c r="L40" s="160"/>
      <c r="M40" s="167" t="s">
        <v>52</v>
      </c>
      <c r="N40" s="166">
        <f>Z27</f>
        <v>128.19</v>
      </c>
      <c r="O40" s="39" t="str">
        <f t="shared" si="40"/>
        <v/>
      </c>
      <c r="AU40" s="4"/>
      <c r="AW40" s="56">
        <f>BC27</f>
        <v>128.19</v>
      </c>
    </row>
    <row r="41" spans="3:59" ht="15">
      <c r="C41" s="4"/>
      <c r="D41" s="4"/>
      <c r="E41" s="4"/>
      <c r="F41" s="59"/>
      <c r="G41" s="4" t="s">
        <v>60</v>
      </c>
      <c r="H41" s="4"/>
      <c r="I41" s="4"/>
      <c r="J41" s="4"/>
      <c r="K41" s="39"/>
      <c r="L41" s="160"/>
      <c r="M41" s="167" t="s">
        <v>52</v>
      </c>
      <c r="N41" s="166">
        <f>AB27</f>
        <v>440</v>
      </c>
      <c r="O41" s="39" t="str">
        <f t="shared" si="40"/>
        <v/>
      </c>
      <c r="AU41" s="4"/>
      <c r="AW41" s="56">
        <f>BD27</f>
        <v>440</v>
      </c>
    </row>
    <row r="42" spans="3:59" ht="15">
      <c r="C42" s="4"/>
      <c r="D42" s="4"/>
      <c r="E42" s="4"/>
      <c r="F42" s="4"/>
      <c r="G42" s="4" t="s">
        <v>61</v>
      </c>
      <c r="H42" s="4"/>
      <c r="I42" s="4"/>
      <c r="J42" s="4"/>
      <c r="K42" s="39"/>
      <c r="L42" s="160"/>
      <c r="M42" s="160"/>
      <c r="N42" s="166">
        <f>AD27</f>
        <v>6.8</v>
      </c>
      <c r="O42" s="39" t="str">
        <f t="shared" si="40"/>
        <v/>
      </c>
      <c r="AU42" s="4"/>
      <c r="AW42" s="56">
        <f>BE27</f>
        <v>6.8</v>
      </c>
    </row>
    <row r="43" spans="3:59" ht="15">
      <c r="C43" s="4"/>
      <c r="D43" s="4"/>
      <c r="E43" s="4"/>
      <c r="F43" s="4"/>
      <c r="G43" s="4" t="s">
        <v>62</v>
      </c>
      <c r="H43" s="4"/>
      <c r="I43" s="4"/>
      <c r="J43" s="4"/>
      <c r="K43" s="39"/>
      <c r="L43" s="160"/>
      <c r="M43" s="167" t="s">
        <v>52</v>
      </c>
      <c r="N43" s="166">
        <f>AF27</f>
        <v>16.5</v>
      </c>
      <c r="O43" s="39" t="str">
        <f t="shared" si="40"/>
        <v/>
      </c>
      <c r="AU43" s="4"/>
      <c r="AW43" s="56">
        <f>BF27</f>
        <v>16.5</v>
      </c>
    </row>
    <row r="44" spans="3:59" ht="15">
      <c r="C44" s="4"/>
      <c r="D44" s="4"/>
      <c r="E44" s="4"/>
      <c r="F44" s="4"/>
      <c r="G44" s="4" t="s">
        <v>63</v>
      </c>
      <c r="H44" s="4"/>
      <c r="I44" s="4"/>
      <c r="J44" s="4"/>
      <c r="K44" s="39"/>
      <c r="L44" s="160"/>
      <c r="M44" s="160"/>
      <c r="N44" s="166">
        <f>L34-SUM(N35:N43)</f>
        <v>7235.38</v>
      </c>
      <c r="O44" s="39" t="str">
        <f t="shared" si="40"/>
        <v/>
      </c>
      <c r="AU44" s="4"/>
      <c r="AW44" s="56">
        <f>BG27</f>
        <v>7235.38</v>
      </c>
    </row>
    <row r="45" spans="3:59">
      <c r="C45" s="4"/>
      <c r="D45" s="4"/>
      <c r="E45" s="4"/>
      <c r="F45" s="4"/>
      <c r="G45" s="4"/>
      <c r="H45" s="4"/>
      <c r="I45" s="4"/>
      <c r="J45" s="4"/>
      <c r="K45" s="4"/>
      <c r="L45" s="160"/>
      <c r="M45" s="160"/>
      <c r="N45" s="160"/>
      <c r="O45" s="4"/>
      <c r="AU45" s="4"/>
      <c r="AW45" s="4"/>
    </row>
    <row r="46" spans="3:59" ht="15">
      <c r="C46" s="4"/>
      <c r="D46" s="210" t="s">
        <v>71</v>
      </c>
      <c r="E46" s="209"/>
      <c r="F46" s="4" t="s">
        <v>67</v>
      </c>
      <c r="G46" s="4"/>
      <c r="H46" s="4"/>
      <c r="I46" s="4"/>
      <c r="J46" s="4"/>
      <c r="K46" s="39"/>
      <c r="L46" s="166">
        <f>SUM(N47:N50)</f>
        <v>1149.8900000000001</v>
      </c>
      <c r="M46" s="39" t="str">
        <f>IF(OR(L46="",L46=AU46),"","*")</f>
        <v/>
      </c>
      <c r="N46" s="160"/>
      <c r="O46" s="4"/>
      <c r="AU46" s="56">
        <f>SUM(AW47:AW50)</f>
        <v>1149.8900000000001</v>
      </c>
      <c r="AW46" s="4"/>
    </row>
    <row r="47" spans="3:59" ht="15">
      <c r="C47" s="4"/>
      <c r="D47" s="4"/>
      <c r="E47" s="4"/>
      <c r="F47" s="59"/>
      <c r="G47" s="4" t="s">
        <v>143</v>
      </c>
      <c r="H47" s="4"/>
      <c r="I47" s="4"/>
      <c r="J47" s="4"/>
      <c r="K47" s="39"/>
      <c r="L47" s="160"/>
      <c r="M47" s="167" t="s">
        <v>52</v>
      </c>
      <c r="N47" s="166">
        <f>AK27*0.062</f>
        <v>597.66999999999996</v>
      </c>
      <c r="O47" s="39" t="str">
        <f>IF(OR(N47="",N47=AW47),"","*")</f>
        <v/>
      </c>
      <c r="AU47" s="4"/>
      <c r="AW47" s="56">
        <f>BH27*BH15</f>
        <v>597.66999999999996</v>
      </c>
    </row>
    <row r="48" spans="3:59" ht="15">
      <c r="C48" s="4"/>
      <c r="D48" s="4"/>
      <c r="E48" s="4"/>
      <c r="F48" s="59"/>
      <c r="G48" s="4" t="s">
        <v>144</v>
      </c>
      <c r="H48" s="4"/>
      <c r="I48" s="4"/>
      <c r="J48" s="4"/>
      <c r="K48" s="39"/>
      <c r="L48" s="160"/>
      <c r="M48" s="167" t="s">
        <v>52</v>
      </c>
      <c r="N48" s="166">
        <f>AM27*0.0145</f>
        <v>139.78</v>
      </c>
      <c r="O48" s="39" t="str">
        <f>IF(OR(N48="",N48=AW48),"","*")</f>
        <v/>
      </c>
      <c r="AU48" s="4"/>
      <c r="AW48" s="56">
        <f>BI27*BI15</f>
        <v>139.78</v>
      </c>
    </row>
    <row r="49" spans="3:49" ht="15">
      <c r="C49" s="4"/>
      <c r="D49" s="4"/>
      <c r="E49" s="4"/>
      <c r="F49" s="59"/>
      <c r="G49" s="4" t="s">
        <v>68</v>
      </c>
      <c r="H49" s="4"/>
      <c r="I49" s="4"/>
      <c r="J49" s="4"/>
      <c r="K49" s="39"/>
      <c r="L49" s="160"/>
      <c r="M49" s="167" t="s">
        <v>52</v>
      </c>
      <c r="N49" s="166">
        <f>X32</f>
        <v>57.84</v>
      </c>
      <c r="O49" s="39" t="str">
        <f>IF(OR(N49="",N49=AW49),"","*")</f>
        <v/>
      </c>
      <c r="AU49" s="4"/>
      <c r="AW49" s="56">
        <f>BJ27*BJ15</f>
        <v>57.84</v>
      </c>
    </row>
    <row r="50" spans="3:49" ht="15">
      <c r="C50" s="4"/>
      <c r="D50" s="4"/>
      <c r="E50" s="4"/>
      <c r="F50" s="4"/>
      <c r="G50" s="4" t="s">
        <v>69</v>
      </c>
      <c r="H50" s="4"/>
      <c r="I50" s="4"/>
      <c r="J50" s="4"/>
      <c r="K50" s="39"/>
      <c r="L50" s="160"/>
      <c r="M50" s="160"/>
      <c r="N50" s="166">
        <f>X34</f>
        <v>354.6</v>
      </c>
      <c r="O50" s="39" t="str">
        <f>IF(OR(N50="",N50=AW50),"","*")</f>
        <v/>
      </c>
      <c r="AU50" s="4"/>
      <c r="AW50" s="56">
        <f>BK27*BK15</f>
        <v>354.6</v>
      </c>
    </row>
    <row r="51" spans="3:49">
      <c r="C51" s="4"/>
      <c r="D51" s="4"/>
      <c r="E51" s="4"/>
      <c r="F51" s="4"/>
      <c r="G51" s="4"/>
      <c r="H51" s="4"/>
      <c r="I51" s="4"/>
      <c r="J51" s="4"/>
      <c r="K51" s="4"/>
      <c r="L51" s="160"/>
      <c r="M51" s="160"/>
      <c r="N51" s="160"/>
      <c r="O51" s="4"/>
      <c r="AU51" s="4"/>
      <c r="AW51" s="4"/>
    </row>
    <row r="52" spans="3:49" ht="15">
      <c r="C52" s="4"/>
      <c r="D52" s="210" t="s">
        <v>64</v>
      </c>
      <c r="E52" s="209"/>
      <c r="F52" s="4" t="s">
        <v>65</v>
      </c>
      <c r="G52" s="4"/>
      <c r="H52" s="4"/>
      <c r="I52" s="4"/>
      <c r="J52" s="4"/>
      <c r="K52" s="39"/>
      <c r="L52" s="166">
        <f>N44</f>
        <v>7235.38</v>
      </c>
      <c r="M52" s="39" t="str">
        <f>IF(OR(L52="",L52=AU52),"","*")</f>
        <v/>
      </c>
      <c r="N52" s="160"/>
      <c r="O52" s="4"/>
      <c r="AU52" s="56">
        <f>BG27</f>
        <v>7235.38</v>
      </c>
      <c r="AW52" s="4"/>
    </row>
    <row r="53" spans="3:49" ht="15">
      <c r="C53" s="4"/>
      <c r="D53" s="4"/>
      <c r="E53" s="4"/>
      <c r="F53" s="59"/>
      <c r="G53" s="4" t="s">
        <v>66</v>
      </c>
      <c r="H53" s="4"/>
      <c r="I53" s="4"/>
      <c r="J53" s="4"/>
      <c r="K53" s="39"/>
      <c r="L53" s="160"/>
      <c r="M53" s="167" t="s">
        <v>52</v>
      </c>
      <c r="N53" s="166">
        <f>L52</f>
        <v>7235.38</v>
      </c>
      <c r="O53" s="39" t="str">
        <f>IF(OR(N53="",N53=AW53),"","*")</f>
        <v/>
      </c>
      <c r="AU53" s="4"/>
      <c r="AW53" s="56">
        <f>BG27</f>
        <v>7235.38</v>
      </c>
    </row>
    <row r="54" spans="3:49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3:49">
      <c r="C55" s="1"/>
      <c r="D55" s="1" t="s">
        <v>152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3:49">
      <c r="C56" s="1"/>
      <c r="D56" s="1" t="s">
        <v>151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</sheetData>
  <sheetProtection password="F4C4" sheet="1" objects="1" scenarios="1"/>
  <mergeCells count="34">
    <mergeCell ref="C30:O30"/>
    <mergeCell ref="D32:E32"/>
    <mergeCell ref="G32:J32"/>
    <mergeCell ref="F14:F16"/>
    <mergeCell ref="A15:C15"/>
    <mergeCell ref="A16:C16"/>
    <mergeCell ref="K14:K16"/>
    <mergeCell ref="D46:E46"/>
    <mergeCell ref="D52:E52"/>
    <mergeCell ref="G33:J33"/>
    <mergeCell ref="D34:E34"/>
    <mergeCell ref="D35:E35"/>
    <mergeCell ref="D39:E39"/>
    <mergeCell ref="P14:R14"/>
    <mergeCell ref="AF16:AG16"/>
    <mergeCell ref="AD15:AE15"/>
    <mergeCell ref="AD16:AE16"/>
    <mergeCell ref="P15:R15"/>
    <mergeCell ref="BH14:BK14"/>
    <mergeCell ref="B1:K1"/>
    <mergeCell ref="A7:AR7"/>
    <mergeCell ref="A8:AJ8"/>
    <mergeCell ref="A9:AJ9"/>
    <mergeCell ref="A10:AR10"/>
    <mergeCell ref="D11:H11"/>
    <mergeCell ref="D13:D16"/>
    <mergeCell ref="E13:E16"/>
    <mergeCell ref="F13:I13"/>
    <mergeCell ref="J13:M13"/>
    <mergeCell ref="P13:AF13"/>
    <mergeCell ref="AH13:AJ13"/>
    <mergeCell ref="AK13:AR13"/>
    <mergeCell ref="G14:G16"/>
    <mergeCell ref="J14:J16"/>
  </mergeCells>
  <phoneticPr fontId="16" type="noConversion"/>
  <pageMargins left="0.75" right="0.75" top="1" bottom="1" header="0.5" footer="0.5"/>
  <pageSetup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56"/>
  <sheetViews>
    <sheetView showGridLines="0" workbookViewId="0">
      <selection activeCell="B1" sqref="B1:K1"/>
    </sheetView>
  </sheetViews>
  <sheetFormatPr defaultRowHeight="12.5"/>
  <cols>
    <col min="3" max="3" width="2.453125" customWidth="1"/>
    <col min="4" max="4" width="5.54296875" customWidth="1"/>
    <col min="5" max="5" width="4.453125" customWidth="1"/>
    <col min="6" max="6" width="5.90625" customWidth="1"/>
    <col min="8" max="8" width="9.1796875" bestFit="1" customWidth="1"/>
    <col min="9" max="9" width="3.453125" customWidth="1"/>
    <col min="10" max="10" width="5.90625" customWidth="1"/>
    <col min="11" max="11" width="7.08984375" customWidth="1"/>
    <col min="12" max="12" width="9.7265625" customWidth="1"/>
    <col min="13" max="13" width="3.7265625" customWidth="1"/>
    <col min="14" max="14" width="9.6328125" customWidth="1"/>
    <col min="15" max="15" width="3.36328125" customWidth="1"/>
    <col min="17" max="17" width="2.90625" customWidth="1"/>
    <col min="19" max="19" width="3.08984375" customWidth="1"/>
    <col min="20" max="20" width="9.1796875" bestFit="1" customWidth="1"/>
    <col min="21" max="21" width="3" customWidth="1"/>
    <col min="23" max="23" width="3.26953125" customWidth="1"/>
    <col min="25" max="25" width="2.90625" customWidth="1"/>
    <col min="27" max="27" width="3" customWidth="1"/>
    <col min="29" max="29" width="3.26953125" customWidth="1"/>
    <col min="31" max="31" width="2.6328125" customWidth="1"/>
    <col min="33" max="33" width="2.6328125" customWidth="1"/>
    <col min="36" max="36" width="2.90625" customWidth="1"/>
    <col min="38" max="38" width="3.1796875" customWidth="1"/>
    <col min="40" max="40" width="3.1796875" customWidth="1"/>
    <col min="42" max="42" width="2.81640625" customWidth="1"/>
    <col min="44" max="44" width="2.81640625" customWidth="1"/>
    <col min="45" max="45" width="8.7265625" hidden="1" customWidth="1"/>
    <col min="46" max="47" width="9.1796875" hidden="1" customWidth="1"/>
    <col min="48" max="48" width="3.1796875" hidden="1" customWidth="1"/>
    <col min="49" max="49" width="9.1796875" hidden="1" customWidth="1"/>
    <col min="50" max="58" width="8.7265625" hidden="1" customWidth="1"/>
    <col min="59" max="63" width="9.1796875" hidden="1" customWidth="1"/>
  </cols>
  <sheetData>
    <row r="1" spans="1:63" ht="13">
      <c r="A1" s="2" t="s">
        <v>17</v>
      </c>
      <c r="B1" s="215" t="s">
        <v>72</v>
      </c>
      <c r="C1" s="215"/>
      <c r="D1" s="215"/>
      <c r="E1" s="215"/>
      <c r="F1" s="215"/>
      <c r="G1" s="215"/>
      <c r="H1" s="215"/>
      <c r="I1" s="215"/>
      <c r="J1" s="215"/>
      <c r="K1" s="215"/>
    </row>
    <row r="2" spans="1:63" ht="13">
      <c r="A2" s="75" t="s">
        <v>150</v>
      </c>
    </row>
    <row r="3" spans="1:63">
      <c r="A3" s="8" t="s">
        <v>19</v>
      </c>
      <c r="B3" s="8"/>
      <c r="C3" s="8"/>
    </row>
    <row r="4" spans="1:63" ht="13">
      <c r="A4" s="75" t="s">
        <v>159</v>
      </c>
      <c r="B4" s="75"/>
      <c r="C4" s="8"/>
    </row>
    <row r="6" spans="1:63" ht="13">
      <c r="A6" s="6" t="s">
        <v>75</v>
      </c>
      <c r="B6" s="6"/>
      <c r="C6" s="7"/>
    </row>
    <row r="7" spans="1:63" ht="13">
      <c r="A7" s="214" t="s">
        <v>76</v>
      </c>
      <c r="B7" s="214"/>
      <c r="C7" s="214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1"/>
    </row>
    <row r="8" spans="1:63" ht="13">
      <c r="A8" s="244"/>
      <c r="B8" s="244"/>
      <c r="C8" s="244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4"/>
      <c r="AL8" s="4"/>
      <c r="AM8" s="4"/>
      <c r="AN8" s="4"/>
      <c r="AO8" s="4"/>
      <c r="AP8" s="4"/>
      <c r="AQ8" s="4"/>
      <c r="AR8" s="4"/>
      <c r="AS8" s="1"/>
    </row>
    <row r="9" spans="1:63" ht="13">
      <c r="A9" s="244"/>
      <c r="B9" s="244"/>
      <c r="C9" s="244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4"/>
      <c r="AL9" s="4"/>
      <c r="AM9" s="4"/>
      <c r="AN9" s="4"/>
      <c r="AO9" s="4"/>
      <c r="AP9" s="4"/>
      <c r="AQ9" s="4"/>
      <c r="AR9" s="4"/>
      <c r="AS9" s="1"/>
    </row>
    <row r="10" spans="1:63">
      <c r="A10" s="245" t="s">
        <v>7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1"/>
    </row>
    <row r="11" spans="1:63">
      <c r="A11" s="40" t="s">
        <v>18</v>
      </c>
      <c r="B11" s="40"/>
      <c r="C11" s="40"/>
      <c r="D11" s="239" t="s">
        <v>42</v>
      </c>
      <c r="E11" s="240"/>
      <c r="F11" s="240"/>
      <c r="G11" s="240"/>
      <c r="H11" s="240"/>
      <c r="I11" s="12"/>
      <c r="J11" s="12"/>
      <c r="K11" s="12"/>
      <c r="L11" s="12"/>
      <c r="M11" s="22"/>
      <c r="N11" s="12"/>
      <c r="O11" s="12"/>
      <c r="P11" s="12"/>
      <c r="Q11" s="12"/>
      <c r="R11" s="12"/>
      <c r="S11" s="12"/>
      <c r="T11" s="13"/>
      <c r="U11" s="13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4"/>
      <c r="AL11" s="4"/>
      <c r="AM11" s="4"/>
      <c r="AN11" s="4"/>
      <c r="AO11" s="4"/>
      <c r="AP11" s="4"/>
      <c r="AQ11" s="4"/>
      <c r="AR11" s="4"/>
      <c r="AS11" s="1"/>
    </row>
    <row r="12" spans="1:63" ht="13" thickBo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96"/>
      <c r="AX12" t="s">
        <v>129</v>
      </c>
      <c r="AY12" t="s">
        <v>1</v>
      </c>
      <c r="BA12" t="s">
        <v>130</v>
      </c>
      <c r="BB12" t="s">
        <v>131</v>
      </c>
      <c r="BC12" t="s">
        <v>132</v>
      </c>
    </row>
    <row r="13" spans="1:63" ht="13" thickTop="1">
      <c r="A13" s="15"/>
      <c r="B13" s="16"/>
      <c r="C13" s="54"/>
      <c r="D13" s="237" t="s">
        <v>10</v>
      </c>
      <c r="E13" s="247" t="s">
        <v>11</v>
      </c>
      <c r="F13" s="216" t="s">
        <v>37</v>
      </c>
      <c r="G13" s="218"/>
      <c r="H13" s="218"/>
      <c r="I13" s="219"/>
      <c r="J13" s="216" t="s">
        <v>43</v>
      </c>
      <c r="K13" s="218"/>
      <c r="L13" s="218"/>
      <c r="M13" s="219"/>
      <c r="N13" s="49"/>
      <c r="O13" s="43"/>
      <c r="P13" s="241" t="s">
        <v>6</v>
      </c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7"/>
      <c r="AH13" s="216" t="s">
        <v>48</v>
      </c>
      <c r="AI13" s="242"/>
      <c r="AJ13" s="243"/>
      <c r="AK13" s="216" t="s">
        <v>51</v>
      </c>
      <c r="AL13" s="217"/>
      <c r="AM13" s="217"/>
      <c r="AN13" s="217"/>
      <c r="AO13" s="217"/>
      <c r="AP13" s="218"/>
      <c r="AQ13" s="218"/>
      <c r="AR13" s="219"/>
      <c r="AS13" s="97"/>
      <c r="AW13" t="s">
        <v>133</v>
      </c>
      <c r="AX13">
        <v>6.2E-2</v>
      </c>
      <c r="AY13">
        <v>1.4500000000000001E-2</v>
      </c>
      <c r="BA13">
        <v>3.0700000000000002E-2</v>
      </c>
      <c r="BB13">
        <v>6.9999999999999999E-4</v>
      </c>
      <c r="BC13">
        <v>1.3299999999999999E-2</v>
      </c>
    </row>
    <row r="14" spans="1:63">
      <c r="A14" s="17"/>
      <c r="B14" s="10"/>
      <c r="C14" s="55"/>
      <c r="D14" s="238"/>
      <c r="E14" s="248"/>
      <c r="F14" s="220" t="s">
        <v>38</v>
      </c>
      <c r="G14" s="223" t="s">
        <v>39</v>
      </c>
      <c r="H14" s="9"/>
      <c r="I14" s="63"/>
      <c r="J14" s="220" t="s">
        <v>38</v>
      </c>
      <c r="K14" s="223" t="s">
        <v>39</v>
      </c>
      <c r="L14" s="9"/>
      <c r="M14" s="63"/>
      <c r="N14" s="41"/>
      <c r="O14" s="44"/>
      <c r="P14" s="226"/>
      <c r="Q14" s="226"/>
      <c r="R14" s="226"/>
      <c r="S14" s="32"/>
      <c r="T14" s="24"/>
      <c r="U14" s="28"/>
      <c r="V14" s="24"/>
      <c r="W14" s="28"/>
      <c r="X14" s="33"/>
      <c r="Y14" s="33"/>
      <c r="Z14" s="24"/>
      <c r="AA14" s="28"/>
      <c r="AB14" s="24"/>
      <c r="AC14" s="28"/>
      <c r="AD14" s="33"/>
      <c r="AE14" s="33"/>
      <c r="AF14" s="24"/>
      <c r="AG14" s="28"/>
      <c r="AH14" s="87"/>
      <c r="AI14" s="11"/>
      <c r="AJ14" s="23"/>
      <c r="AK14" s="24"/>
      <c r="AL14" s="28"/>
      <c r="AM14" s="24"/>
      <c r="AN14" s="28"/>
      <c r="AO14" s="24"/>
      <c r="AP14" s="28"/>
      <c r="AQ14" s="24"/>
      <c r="AR14" s="28"/>
      <c r="AS14" s="98"/>
      <c r="AW14" t="s">
        <v>134</v>
      </c>
      <c r="AX14">
        <v>6.2E-2</v>
      </c>
      <c r="AY14">
        <v>1.4500000000000001E-2</v>
      </c>
      <c r="BH14" s="249" t="s">
        <v>95</v>
      </c>
      <c r="BI14" s="249"/>
      <c r="BJ14" s="249"/>
      <c r="BK14" s="249"/>
    </row>
    <row r="15" spans="1:63">
      <c r="A15" s="229"/>
      <c r="B15" s="230"/>
      <c r="C15" s="231"/>
      <c r="D15" s="238"/>
      <c r="E15" s="248"/>
      <c r="F15" s="221"/>
      <c r="G15" s="224"/>
      <c r="H15" s="11"/>
      <c r="I15" s="23"/>
      <c r="J15" s="221"/>
      <c r="K15" s="224"/>
      <c r="L15" s="11"/>
      <c r="M15" s="23"/>
      <c r="N15" s="42" t="s">
        <v>12</v>
      </c>
      <c r="O15" s="45"/>
      <c r="P15" s="232" t="s">
        <v>2</v>
      </c>
      <c r="Q15" s="232"/>
      <c r="R15" s="232"/>
      <c r="S15" s="33"/>
      <c r="T15" s="24"/>
      <c r="U15" s="29"/>
      <c r="V15" s="24"/>
      <c r="W15" s="29"/>
      <c r="X15" s="33"/>
      <c r="Y15" s="33"/>
      <c r="Z15" s="24"/>
      <c r="AA15" s="29"/>
      <c r="AB15" s="24"/>
      <c r="AC15" s="29"/>
      <c r="AD15" s="233" t="s">
        <v>47</v>
      </c>
      <c r="AE15" s="234"/>
      <c r="AF15" s="86" t="s">
        <v>46</v>
      </c>
      <c r="AG15" s="29"/>
      <c r="AH15" s="88" t="s">
        <v>49</v>
      </c>
      <c r="AI15" s="11"/>
      <c r="AJ15" s="23"/>
      <c r="AK15" s="24"/>
      <c r="AL15" s="29"/>
      <c r="AM15" s="24"/>
      <c r="AN15" s="29"/>
      <c r="AO15" s="24"/>
      <c r="AP15" s="29"/>
      <c r="AQ15" s="24"/>
      <c r="AR15" s="29"/>
      <c r="AS15" s="98"/>
      <c r="BH15">
        <v>6.2E-2</v>
      </c>
      <c r="BI15">
        <v>1.4500000000000001E-2</v>
      </c>
      <c r="BJ15">
        <v>6.0000000000000001E-3</v>
      </c>
      <c r="BK15">
        <v>3.6784999999999998E-2</v>
      </c>
    </row>
    <row r="16" spans="1:63" ht="15.5" customHeight="1">
      <c r="A16" s="235" t="s">
        <v>26</v>
      </c>
      <c r="B16" s="232"/>
      <c r="C16" s="236"/>
      <c r="D16" s="238"/>
      <c r="E16" s="248"/>
      <c r="F16" s="222"/>
      <c r="G16" s="225"/>
      <c r="H16" s="72" t="s">
        <v>40</v>
      </c>
      <c r="I16" s="64"/>
      <c r="J16" s="222"/>
      <c r="K16" s="225"/>
      <c r="L16" s="72" t="s">
        <v>40</v>
      </c>
      <c r="M16" s="64"/>
      <c r="N16" s="93" t="s">
        <v>13</v>
      </c>
      <c r="O16" s="46"/>
      <c r="P16" s="81" t="s">
        <v>0</v>
      </c>
      <c r="Q16" s="82"/>
      <c r="R16" s="83" t="s">
        <v>1</v>
      </c>
      <c r="S16" s="34"/>
      <c r="T16" s="85" t="s">
        <v>3</v>
      </c>
      <c r="U16" s="31"/>
      <c r="V16" s="72" t="s">
        <v>4</v>
      </c>
      <c r="W16" s="29"/>
      <c r="X16" s="72" t="s">
        <v>16</v>
      </c>
      <c r="Y16" s="30"/>
      <c r="Z16" s="85" t="s">
        <v>5</v>
      </c>
      <c r="AA16" s="29"/>
      <c r="AB16" s="85" t="s">
        <v>44</v>
      </c>
      <c r="AC16" s="29"/>
      <c r="AD16" s="227" t="s">
        <v>45</v>
      </c>
      <c r="AE16" s="228"/>
      <c r="AF16" s="227" t="s">
        <v>45</v>
      </c>
      <c r="AG16" s="228"/>
      <c r="AH16" s="89" t="s">
        <v>50</v>
      </c>
      <c r="AI16" s="84" t="s">
        <v>40</v>
      </c>
      <c r="AJ16" s="21"/>
      <c r="AK16" s="85" t="s">
        <v>0</v>
      </c>
      <c r="AL16" s="29"/>
      <c r="AM16" s="85" t="s">
        <v>1</v>
      </c>
      <c r="AN16" s="29"/>
      <c r="AO16" s="85" t="s">
        <v>15</v>
      </c>
      <c r="AP16" s="29"/>
      <c r="AQ16" s="85" t="s">
        <v>16</v>
      </c>
      <c r="AR16" s="29"/>
      <c r="AS16" s="98"/>
      <c r="AT16" t="s">
        <v>87</v>
      </c>
      <c r="AU16" t="s">
        <v>88</v>
      </c>
      <c r="AW16" t="s">
        <v>89</v>
      </c>
      <c r="AX16" t="s">
        <v>0</v>
      </c>
      <c r="AY16" t="s">
        <v>1</v>
      </c>
      <c r="AZ16" t="s">
        <v>3</v>
      </c>
      <c r="BA16" t="s">
        <v>4</v>
      </c>
      <c r="BB16" t="s">
        <v>16</v>
      </c>
      <c r="BC16" t="s">
        <v>5</v>
      </c>
      <c r="BD16" t="s">
        <v>92</v>
      </c>
      <c r="BE16" t="s">
        <v>91</v>
      </c>
      <c r="BF16" t="s">
        <v>90</v>
      </c>
      <c r="BG16" t="s">
        <v>93</v>
      </c>
      <c r="BH16" t="s">
        <v>0</v>
      </c>
      <c r="BI16" t="s">
        <v>1</v>
      </c>
      <c r="BJ16" t="s">
        <v>15</v>
      </c>
      <c r="BK16" t="s">
        <v>16</v>
      </c>
    </row>
    <row r="17" spans="1:63" ht="15">
      <c r="A17" s="60" t="s">
        <v>77</v>
      </c>
      <c r="B17" s="102"/>
      <c r="C17" s="20"/>
      <c r="D17" s="193"/>
      <c r="E17" s="193"/>
      <c r="F17" s="180">
        <v>40</v>
      </c>
      <c r="G17" s="197">
        <v>18.5</v>
      </c>
      <c r="H17" s="106">
        <f>F17*G17</f>
        <v>740</v>
      </c>
      <c r="I17" s="35" t="str">
        <f t="shared" ref="I17:I27" si="0">IF(OR(H17="",H17=AT17),"","*")</f>
        <v/>
      </c>
      <c r="J17" s="77"/>
      <c r="K17" s="80"/>
      <c r="L17" s="66"/>
      <c r="M17" s="35" t="str">
        <f t="shared" ref="M17:M27" si="1">IF(OR(L17="",L17=AU17),"","*")</f>
        <v/>
      </c>
      <c r="N17" s="107">
        <f t="shared" ref="N17:N26" si="2">H17+L17</f>
        <v>740</v>
      </c>
      <c r="O17" s="35" t="str">
        <f t="shared" ref="O17:O27" si="3">IF(OR(N17="",N17=AW17),"","*")</f>
        <v/>
      </c>
      <c r="P17" s="26"/>
      <c r="Q17" s="35" t="str">
        <f t="shared" ref="Q17:Q27" si="4">IF(OR(P17="",P17=AX17),"","*")</f>
        <v/>
      </c>
      <c r="R17" s="25"/>
      <c r="S17" s="35" t="str">
        <f t="shared" ref="S17:S27" si="5">IF(OR(R17="",R17=AY17),"","*")</f>
        <v/>
      </c>
      <c r="T17" s="52"/>
      <c r="U17" s="35" t="str">
        <f t="shared" ref="U17:U27" si="6">IF(OR(T17="",T17=AZ17),"","*")</f>
        <v/>
      </c>
      <c r="V17" s="25"/>
      <c r="W17" s="35" t="str">
        <f t="shared" ref="W17:W27" si="7">IF(OR(V17="",V17=BA17),"","*")</f>
        <v/>
      </c>
      <c r="X17" s="25"/>
      <c r="Y17" s="35" t="str">
        <f t="shared" ref="Y17:Y27" si="8">IF(OR(X17="",X17=BB17),"","*")</f>
        <v/>
      </c>
      <c r="Z17" s="25"/>
      <c r="AA17" s="35" t="str">
        <f t="shared" ref="AA17:AA27" si="9">IF(OR(Z17="",Z17=BC17),"","*")</f>
        <v/>
      </c>
      <c r="AB17" s="25"/>
      <c r="AC17" s="35" t="str">
        <f t="shared" ref="AC17:AC27" si="10">IF(OR(AB17="",AB17=BD17),"","*")</f>
        <v/>
      </c>
      <c r="AD17" s="25"/>
      <c r="AE17" s="35" t="str">
        <f t="shared" ref="AE17:AE27" si="11">IF(OR(AD17="",AD17=BE17),"","*")</f>
        <v/>
      </c>
      <c r="AF17" s="25"/>
      <c r="AG17" s="35" t="str">
        <f t="shared" ref="AG17:AG27" si="12">IF(OR(AF17="",AF17=BF17),"","*")</f>
        <v/>
      </c>
      <c r="AH17" s="108"/>
      <c r="AI17" s="3"/>
      <c r="AJ17" s="35" t="str">
        <f t="shared" ref="AJ17:AJ27" si="13">IF(OR(AI17="",AI17=BG17),"","*")</f>
        <v/>
      </c>
      <c r="AK17" s="25"/>
      <c r="AL17" s="35" t="str">
        <f t="shared" ref="AL17:AL27" si="14">IF(OR(AK17="",AK17=BH17),"","*")</f>
        <v/>
      </c>
      <c r="AM17" s="25"/>
      <c r="AN17" s="35" t="str">
        <f t="shared" ref="AN17:AN27" si="15">IF(OR(AM17="",AM17=BI17),"","*")</f>
        <v/>
      </c>
      <c r="AO17" s="25"/>
      <c r="AP17" s="35" t="str">
        <f t="shared" ref="AP17:AP27" si="16">IF(OR(AO17="",AO17=BJ17),"","*")</f>
        <v/>
      </c>
      <c r="AQ17" s="25"/>
      <c r="AR17" s="35" t="str">
        <f t="shared" ref="AR17:AR27" si="17">IF(OR(AQ17="",AQ17=BK17),"","*")</f>
        <v/>
      </c>
      <c r="AS17" s="99"/>
      <c r="AT17" s="123">
        <f>18.5*40</f>
        <v>740</v>
      </c>
      <c r="AU17" s="123"/>
      <c r="AV17" s="123"/>
      <c r="AW17" s="123">
        <f>AT17+AU17</f>
        <v>740</v>
      </c>
      <c r="AX17" s="124">
        <f t="shared" ref="AX17:AX26" si="18">AW17*$AX$13</f>
        <v>45.88</v>
      </c>
      <c r="AY17" s="125">
        <f t="shared" ref="AY17:AY26" si="19">AW17*$AY$13</f>
        <v>10.73</v>
      </c>
      <c r="AZ17" s="126">
        <v>82</v>
      </c>
      <c r="BA17" s="125">
        <f t="shared" ref="BA17:BA26" si="20">AW17*$BA$13</f>
        <v>22.72</v>
      </c>
      <c r="BB17" s="125">
        <f t="shared" ref="BB17:BB26" si="21">AW17*$BB$13</f>
        <v>0.52</v>
      </c>
      <c r="BC17" s="125">
        <f t="shared" ref="BC17:BC26" si="22">AW17*$BC$13</f>
        <v>9.84</v>
      </c>
      <c r="BD17" s="125">
        <v>20</v>
      </c>
      <c r="BE17" s="125">
        <v>0.85</v>
      </c>
      <c r="BF17" s="125">
        <v>1.65</v>
      </c>
      <c r="BG17" s="127">
        <f t="shared" ref="BG17:BG26" si="23">AW17-SUM(AX17:BF17)</f>
        <v>545.80999999999995</v>
      </c>
      <c r="BH17" s="125">
        <f>AW17</f>
        <v>740</v>
      </c>
      <c r="BI17" s="125">
        <f>AW17</f>
        <v>740</v>
      </c>
      <c r="BJ17" s="125">
        <f>AW17</f>
        <v>740</v>
      </c>
      <c r="BK17" s="125">
        <f>AW17</f>
        <v>740</v>
      </c>
    </row>
    <row r="18" spans="1:63" ht="15">
      <c r="A18" s="18" t="s">
        <v>78</v>
      </c>
      <c r="B18" s="103"/>
      <c r="C18" s="20"/>
      <c r="D18" s="193"/>
      <c r="E18" s="193"/>
      <c r="F18" s="180">
        <v>40</v>
      </c>
      <c r="G18" s="197">
        <v>19.25</v>
      </c>
      <c r="H18" s="109">
        <f>F18*G18</f>
        <v>770</v>
      </c>
      <c r="I18" s="35" t="str">
        <f t="shared" si="0"/>
        <v/>
      </c>
      <c r="J18" s="110">
        <v>10</v>
      </c>
      <c r="K18" s="111">
        <f>ROUND(G18*1.5,2)</f>
        <v>28.88</v>
      </c>
      <c r="L18" s="112">
        <f>J18*K18</f>
        <v>288.8</v>
      </c>
      <c r="M18" s="35" t="str">
        <f t="shared" si="1"/>
        <v/>
      </c>
      <c r="N18" s="107">
        <f t="shared" si="2"/>
        <v>1058.8</v>
      </c>
      <c r="O18" s="36" t="str">
        <f t="shared" si="3"/>
        <v/>
      </c>
      <c r="P18" s="26"/>
      <c r="Q18" s="36" t="str">
        <f t="shared" si="4"/>
        <v/>
      </c>
      <c r="R18" s="26"/>
      <c r="S18" s="36" t="str">
        <f t="shared" si="5"/>
        <v/>
      </c>
      <c r="T18" s="53"/>
      <c r="U18" s="36" t="str">
        <f t="shared" si="6"/>
        <v/>
      </c>
      <c r="V18" s="26"/>
      <c r="W18" s="36" t="str">
        <f t="shared" si="7"/>
        <v/>
      </c>
      <c r="X18" s="26"/>
      <c r="Y18" s="36" t="str">
        <f t="shared" si="8"/>
        <v/>
      </c>
      <c r="Z18" s="26"/>
      <c r="AA18" s="36" t="str">
        <f t="shared" si="9"/>
        <v/>
      </c>
      <c r="AB18" s="26"/>
      <c r="AC18" s="36" t="str">
        <f t="shared" si="10"/>
        <v/>
      </c>
      <c r="AD18" s="26"/>
      <c r="AE18" s="36" t="str">
        <f t="shared" si="11"/>
        <v/>
      </c>
      <c r="AF18" s="26"/>
      <c r="AG18" s="36" t="str">
        <f t="shared" si="12"/>
        <v/>
      </c>
      <c r="AH18" s="90"/>
      <c r="AI18" s="92"/>
      <c r="AJ18" s="36" t="str">
        <f t="shared" si="13"/>
        <v/>
      </c>
      <c r="AK18" s="26"/>
      <c r="AL18" s="36" t="str">
        <f t="shared" si="14"/>
        <v/>
      </c>
      <c r="AM18" s="26"/>
      <c r="AN18" s="36" t="str">
        <f t="shared" si="15"/>
        <v/>
      </c>
      <c r="AO18" s="26"/>
      <c r="AP18" s="36" t="str">
        <f t="shared" si="16"/>
        <v/>
      </c>
      <c r="AQ18" s="26"/>
      <c r="AR18" s="36" t="str">
        <f t="shared" si="17"/>
        <v/>
      </c>
      <c r="AS18" s="99"/>
      <c r="AT18" s="123">
        <f>19.25*40</f>
        <v>770</v>
      </c>
      <c r="AU18" s="123">
        <f>ROUND(19.25*1.5,2)*10</f>
        <v>288.8</v>
      </c>
      <c r="AV18" s="123"/>
      <c r="AW18" s="123">
        <f t="shared" ref="AW18:AW26" si="24">AT18+AU18</f>
        <v>1058.8</v>
      </c>
      <c r="AX18" s="124">
        <f t="shared" si="18"/>
        <v>65.650000000000006</v>
      </c>
      <c r="AY18" s="124">
        <f t="shared" si="19"/>
        <v>15.35</v>
      </c>
      <c r="AZ18" s="128">
        <v>159</v>
      </c>
      <c r="BA18" s="125">
        <f t="shared" si="20"/>
        <v>32.51</v>
      </c>
      <c r="BB18" s="125">
        <f t="shared" si="21"/>
        <v>0.74</v>
      </c>
      <c r="BC18" s="125">
        <f t="shared" si="22"/>
        <v>14.08</v>
      </c>
      <c r="BD18" s="124">
        <v>50</v>
      </c>
      <c r="BE18" s="124">
        <v>0.85</v>
      </c>
      <c r="BF18" s="124">
        <v>1.65</v>
      </c>
      <c r="BG18" s="127">
        <f t="shared" si="23"/>
        <v>718.97</v>
      </c>
      <c r="BH18" s="124">
        <f t="shared" ref="BH18:BH26" si="25">AW18</f>
        <v>1058.8</v>
      </c>
      <c r="BI18" s="124">
        <f t="shared" ref="BI18:BI26" si="26">AW18</f>
        <v>1058.8</v>
      </c>
      <c r="BJ18" s="124">
        <f t="shared" ref="BJ18:BJ26" si="27">AW18</f>
        <v>1058.8</v>
      </c>
      <c r="BK18" s="124">
        <f t="shared" ref="BK18:BK26" si="28">AW18</f>
        <v>1058.8</v>
      </c>
    </row>
    <row r="19" spans="1:63" ht="15">
      <c r="A19" s="18" t="s">
        <v>79</v>
      </c>
      <c r="B19" s="103"/>
      <c r="C19" s="20"/>
      <c r="D19" s="193"/>
      <c r="E19" s="193"/>
      <c r="F19" s="180">
        <v>38.5</v>
      </c>
      <c r="G19" s="197">
        <v>17.8</v>
      </c>
      <c r="H19" s="109">
        <f>F19*G19</f>
        <v>685.3</v>
      </c>
      <c r="I19" s="35" t="str">
        <f t="shared" si="0"/>
        <v/>
      </c>
      <c r="J19" s="110"/>
      <c r="K19" s="111"/>
      <c r="L19" s="109"/>
      <c r="M19" s="35" t="str">
        <f t="shared" si="1"/>
        <v/>
      </c>
      <c r="N19" s="107">
        <f t="shared" si="2"/>
        <v>685.3</v>
      </c>
      <c r="O19" s="36" t="str">
        <f t="shared" si="3"/>
        <v/>
      </c>
      <c r="P19" s="26"/>
      <c r="Q19" s="36" t="str">
        <f t="shared" si="4"/>
        <v/>
      </c>
      <c r="R19" s="26"/>
      <c r="S19" s="36" t="str">
        <f t="shared" si="5"/>
        <v/>
      </c>
      <c r="T19" s="53"/>
      <c r="U19" s="36" t="str">
        <f t="shared" si="6"/>
        <v/>
      </c>
      <c r="V19" s="26"/>
      <c r="W19" s="36" t="str">
        <f t="shared" si="7"/>
        <v/>
      </c>
      <c r="X19" s="26"/>
      <c r="Y19" s="36" t="str">
        <f t="shared" si="8"/>
        <v/>
      </c>
      <c r="Z19" s="26"/>
      <c r="AA19" s="36" t="str">
        <f t="shared" si="9"/>
        <v/>
      </c>
      <c r="AB19" s="26"/>
      <c r="AC19" s="36" t="str">
        <f t="shared" si="10"/>
        <v/>
      </c>
      <c r="AD19" s="26"/>
      <c r="AE19" s="36" t="str">
        <f t="shared" si="11"/>
        <v/>
      </c>
      <c r="AF19" s="26"/>
      <c r="AG19" s="36" t="str">
        <f t="shared" si="12"/>
        <v/>
      </c>
      <c r="AH19" s="90"/>
      <c r="AI19" s="92"/>
      <c r="AJ19" s="36" t="str">
        <f t="shared" si="13"/>
        <v/>
      </c>
      <c r="AK19" s="26"/>
      <c r="AL19" s="36" t="str">
        <f t="shared" si="14"/>
        <v/>
      </c>
      <c r="AM19" s="26"/>
      <c r="AN19" s="36" t="str">
        <f t="shared" si="15"/>
        <v/>
      </c>
      <c r="AO19" s="26"/>
      <c r="AP19" s="36" t="str">
        <f t="shared" si="16"/>
        <v/>
      </c>
      <c r="AQ19" s="26"/>
      <c r="AR19" s="36" t="str">
        <f t="shared" si="17"/>
        <v/>
      </c>
      <c r="AS19" s="99"/>
      <c r="AT19" s="123">
        <f>17.8*38.5</f>
        <v>685.3</v>
      </c>
      <c r="AU19" s="123"/>
      <c r="AV19" s="123"/>
      <c r="AW19" s="123">
        <f t="shared" si="24"/>
        <v>685.3</v>
      </c>
      <c r="AX19" s="124">
        <f t="shared" si="18"/>
        <v>42.49</v>
      </c>
      <c r="AY19" s="124">
        <f t="shared" si="19"/>
        <v>9.94</v>
      </c>
      <c r="AZ19" s="128">
        <v>33</v>
      </c>
      <c r="BA19" s="125">
        <f t="shared" si="20"/>
        <v>21.04</v>
      </c>
      <c r="BB19" s="125">
        <f t="shared" si="21"/>
        <v>0.48</v>
      </c>
      <c r="BC19" s="125">
        <f t="shared" si="22"/>
        <v>9.11</v>
      </c>
      <c r="BD19" s="124">
        <v>40</v>
      </c>
      <c r="BE19" s="124">
        <v>0</v>
      </c>
      <c r="BF19" s="124">
        <v>1.65</v>
      </c>
      <c r="BG19" s="127">
        <f t="shared" si="23"/>
        <v>527.59</v>
      </c>
      <c r="BH19" s="124">
        <f t="shared" si="25"/>
        <v>685.3</v>
      </c>
      <c r="BI19" s="124">
        <f t="shared" si="26"/>
        <v>685.3</v>
      </c>
      <c r="BJ19" s="124">
        <f t="shared" si="27"/>
        <v>685.3</v>
      </c>
      <c r="BK19" s="124">
        <f t="shared" si="28"/>
        <v>685.3</v>
      </c>
    </row>
    <row r="20" spans="1:63" ht="15">
      <c r="A20" s="18" t="s">
        <v>80</v>
      </c>
      <c r="B20" s="103"/>
      <c r="C20" s="20"/>
      <c r="D20" s="193"/>
      <c r="E20" s="193"/>
      <c r="F20" s="180">
        <v>40</v>
      </c>
      <c r="G20" s="197">
        <v>20.7</v>
      </c>
      <c r="H20" s="113">
        <f>F20*G20</f>
        <v>828</v>
      </c>
      <c r="I20" s="35" t="str">
        <f t="shared" si="0"/>
        <v/>
      </c>
      <c r="J20" s="110">
        <v>7</v>
      </c>
      <c r="K20" s="111">
        <f>ROUND(G20*1.5,2)</f>
        <v>31.05</v>
      </c>
      <c r="L20" s="113">
        <f>J20*K20</f>
        <v>217.35</v>
      </c>
      <c r="M20" s="35" t="str">
        <f t="shared" si="1"/>
        <v/>
      </c>
      <c r="N20" s="107">
        <f t="shared" si="2"/>
        <v>1045.3499999999999</v>
      </c>
      <c r="O20" s="36" t="str">
        <f t="shared" si="3"/>
        <v/>
      </c>
      <c r="P20" s="26"/>
      <c r="Q20" s="36" t="str">
        <f t="shared" si="4"/>
        <v/>
      </c>
      <c r="R20" s="26"/>
      <c r="S20" s="36" t="str">
        <f t="shared" si="5"/>
        <v/>
      </c>
      <c r="T20" s="53"/>
      <c r="U20" s="36" t="str">
        <f t="shared" si="6"/>
        <v/>
      </c>
      <c r="V20" s="26"/>
      <c r="W20" s="36" t="str">
        <f t="shared" si="7"/>
        <v/>
      </c>
      <c r="X20" s="26"/>
      <c r="Y20" s="36" t="str">
        <f t="shared" si="8"/>
        <v/>
      </c>
      <c r="Z20" s="26"/>
      <c r="AA20" s="36" t="str">
        <f t="shared" si="9"/>
        <v/>
      </c>
      <c r="AB20" s="26"/>
      <c r="AC20" s="36" t="str">
        <f t="shared" si="10"/>
        <v/>
      </c>
      <c r="AD20" s="26"/>
      <c r="AE20" s="36" t="str">
        <f t="shared" si="11"/>
        <v/>
      </c>
      <c r="AF20" s="26"/>
      <c r="AG20" s="36" t="str">
        <f t="shared" si="12"/>
        <v/>
      </c>
      <c r="AH20" s="90"/>
      <c r="AI20" s="92"/>
      <c r="AJ20" s="36" t="str">
        <f t="shared" si="13"/>
        <v/>
      </c>
      <c r="AK20" s="26"/>
      <c r="AL20" s="36" t="str">
        <f t="shared" si="14"/>
        <v/>
      </c>
      <c r="AM20" s="26"/>
      <c r="AN20" s="36" t="str">
        <f t="shared" si="15"/>
        <v/>
      </c>
      <c r="AO20" s="26"/>
      <c r="AP20" s="36" t="str">
        <f t="shared" si="16"/>
        <v/>
      </c>
      <c r="AQ20" s="26"/>
      <c r="AR20" s="36" t="str">
        <f t="shared" si="17"/>
        <v/>
      </c>
      <c r="AS20" s="99"/>
      <c r="AT20" s="123">
        <f>20.7*40</f>
        <v>828</v>
      </c>
      <c r="AU20" s="206">
        <f>ROUND(20.7*1.5,2)*7</f>
        <v>217.35</v>
      </c>
      <c r="AV20" s="123"/>
      <c r="AW20" s="123">
        <f t="shared" si="24"/>
        <v>1045.3499999999999</v>
      </c>
      <c r="AX20" s="124">
        <f t="shared" si="18"/>
        <v>64.81</v>
      </c>
      <c r="AY20" s="124">
        <f t="shared" si="19"/>
        <v>15.16</v>
      </c>
      <c r="AZ20" s="128">
        <v>71</v>
      </c>
      <c r="BA20" s="125">
        <f t="shared" si="20"/>
        <v>32.090000000000003</v>
      </c>
      <c r="BB20" s="125">
        <f t="shared" si="21"/>
        <v>0.73</v>
      </c>
      <c r="BC20" s="125">
        <f t="shared" si="22"/>
        <v>13.9</v>
      </c>
      <c r="BD20" s="124">
        <v>60</v>
      </c>
      <c r="BE20" s="124">
        <v>0.85</v>
      </c>
      <c r="BF20" s="124">
        <v>1.65</v>
      </c>
      <c r="BG20" s="127">
        <f t="shared" si="23"/>
        <v>785.16</v>
      </c>
      <c r="BH20" s="124">
        <f t="shared" si="25"/>
        <v>1045.3499999999999</v>
      </c>
      <c r="BI20" s="124">
        <f t="shared" si="26"/>
        <v>1045.3499999999999</v>
      </c>
      <c r="BJ20" s="124">
        <f t="shared" si="27"/>
        <v>1045.3499999999999</v>
      </c>
      <c r="BK20" s="124">
        <f t="shared" si="28"/>
        <v>1045.3499999999999</v>
      </c>
    </row>
    <row r="21" spans="1:63" ht="15">
      <c r="A21" s="18" t="s">
        <v>81</v>
      </c>
      <c r="B21" s="103"/>
      <c r="C21" s="20"/>
      <c r="D21" s="193"/>
      <c r="E21" s="193"/>
      <c r="F21" s="180">
        <v>40</v>
      </c>
      <c r="G21" s="197">
        <v>23.8</v>
      </c>
      <c r="H21" s="113">
        <f>F21*G21</f>
        <v>952</v>
      </c>
      <c r="I21" s="35" t="str">
        <f t="shared" si="0"/>
        <v/>
      </c>
      <c r="J21" s="110"/>
      <c r="K21" s="111"/>
      <c r="L21" s="113"/>
      <c r="M21" s="35" t="str">
        <f t="shared" si="1"/>
        <v/>
      </c>
      <c r="N21" s="107">
        <f t="shared" si="2"/>
        <v>952</v>
      </c>
      <c r="O21" s="36" t="str">
        <f t="shared" si="3"/>
        <v/>
      </c>
      <c r="P21" s="26"/>
      <c r="Q21" s="36" t="str">
        <f t="shared" si="4"/>
        <v/>
      </c>
      <c r="R21" s="26"/>
      <c r="S21" s="36" t="str">
        <f t="shared" si="5"/>
        <v/>
      </c>
      <c r="T21" s="53"/>
      <c r="U21" s="36" t="str">
        <f t="shared" si="6"/>
        <v/>
      </c>
      <c r="V21" s="26"/>
      <c r="W21" s="36" t="str">
        <f t="shared" si="7"/>
        <v/>
      </c>
      <c r="X21" s="26"/>
      <c r="Y21" s="36" t="str">
        <f t="shared" si="8"/>
        <v/>
      </c>
      <c r="Z21" s="26"/>
      <c r="AA21" s="36" t="str">
        <f t="shared" si="9"/>
        <v/>
      </c>
      <c r="AB21" s="26"/>
      <c r="AC21" s="36" t="str">
        <f t="shared" si="10"/>
        <v/>
      </c>
      <c r="AD21" s="26"/>
      <c r="AE21" s="36" t="str">
        <f t="shared" si="11"/>
        <v/>
      </c>
      <c r="AF21" s="26"/>
      <c r="AG21" s="36" t="str">
        <f t="shared" si="12"/>
        <v/>
      </c>
      <c r="AH21" s="90"/>
      <c r="AI21" s="92"/>
      <c r="AJ21" s="36" t="str">
        <f t="shared" si="13"/>
        <v/>
      </c>
      <c r="AK21" s="26"/>
      <c r="AL21" s="36" t="str">
        <f t="shared" si="14"/>
        <v/>
      </c>
      <c r="AM21" s="26"/>
      <c r="AN21" s="36" t="str">
        <f t="shared" si="15"/>
        <v/>
      </c>
      <c r="AO21" s="26"/>
      <c r="AP21" s="36" t="str">
        <f t="shared" si="16"/>
        <v/>
      </c>
      <c r="AQ21" s="26"/>
      <c r="AR21" s="36" t="str">
        <f t="shared" si="17"/>
        <v/>
      </c>
      <c r="AS21" s="99"/>
      <c r="AT21" s="123">
        <f>23.8*40</f>
        <v>952</v>
      </c>
      <c r="AU21" s="123"/>
      <c r="AV21" s="123"/>
      <c r="AW21" s="123">
        <f t="shared" si="24"/>
        <v>952</v>
      </c>
      <c r="AX21" s="124">
        <f t="shared" si="18"/>
        <v>59.02</v>
      </c>
      <c r="AY21" s="124">
        <f t="shared" si="19"/>
        <v>13.8</v>
      </c>
      <c r="AZ21" s="128">
        <v>103</v>
      </c>
      <c r="BA21" s="125">
        <f t="shared" si="20"/>
        <v>29.23</v>
      </c>
      <c r="BB21" s="125">
        <f t="shared" si="21"/>
        <v>0.67</v>
      </c>
      <c r="BC21" s="125">
        <f t="shared" si="22"/>
        <v>12.66</v>
      </c>
      <c r="BD21" s="124">
        <v>20</v>
      </c>
      <c r="BE21" s="124">
        <v>0.85</v>
      </c>
      <c r="BF21" s="124">
        <v>1.65</v>
      </c>
      <c r="BG21" s="127">
        <f t="shared" si="23"/>
        <v>711.12</v>
      </c>
      <c r="BH21" s="124">
        <f t="shared" si="25"/>
        <v>952</v>
      </c>
      <c r="BI21" s="124">
        <f t="shared" si="26"/>
        <v>952</v>
      </c>
      <c r="BJ21" s="124">
        <f t="shared" si="27"/>
        <v>952</v>
      </c>
      <c r="BK21" s="124">
        <f t="shared" si="28"/>
        <v>952</v>
      </c>
    </row>
    <row r="22" spans="1:63" ht="15">
      <c r="A22" s="18" t="s">
        <v>82</v>
      </c>
      <c r="B22" s="103"/>
      <c r="C22" s="20"/>
      <c r="D22" s="193"/>
      <c r="E22" s="193"/>
      <c r="F22" s="180">
        <v>40</v>
      </c>
      <c r="G22" s="71"/>
      <c r="H22" s="109">
        <v>800</v>
      </c>
      <c r="I22" s="35" t="str">
        <f t="shared" si="0"/>
        <v/>
      </c>
      <c r="J22" s="114">
        <v>1.25</v>
      </c>
      <c r="K22" s="115">
        <f>ROUND(H22/40,2)*1.5</f>
        <v>30</v>
      </c>
      <c r="L22" s="116">
        <f>J22*K22</f>
        <v>37.5</v>
      </c>
      <c r="M22" s="35" t="str">
        <f t="shared" si="1"/>
        <v/>
      </c>
      <c r="N22" s="107">
        <f t="shared" si="2"/>
        <v>837.5</v>
      </c>
      <c r="O22" s="36" t="str">
        <f t="shared" si="3"/>
        <v/>
      </c>
      <c r="P22" s="26"/>
      <c r="Q22" s="36" t="str">
        <f t="shared" si="4"/>
        <v/>
      </c>
      <c r="R22" s="26"/>
      <c r="S22" s="36" t="str">
        <f t="shared" si="5"/>
        <v/>
      </c>
      <c r="T22" s="53"/>
      <c r="U22" s="36" t="str">
        <f t="shared" si="6"/>
        <v/>
      </c>
      <c r="V22" s="26"/>
      <c r="W22" s="36" t="str">
        <f t="shared" si="7"/>
        <v/>
      </c>
      <c r="X22" s="26"/>
      <c r="Y22" s="36" t="str">
        <f t="shared" si="8"/>
        <v/>
      </c>
      <c r="Z22" s="26"/>
      <c r="AA22" s="36" t="str">
        <f t="shared" si="9"/>
        <v/>
      </c>
      <c r="AB22" s="26"/>
      <c r="AC22" s="36" t="str">
        <f t="shared" si="10"/>
        <v/>
      </c>
      <c r="AD22" s="26"/>
      <c r="AE22" s="36" t="str">
        <f t="shared" si="11"/>
        <v/>
      </c>
      <c r="AF22" s="26"/>
      <c r="AG22" s="36" t="str">
        <f t="shared" si="12"/>
        <v/>
      </c>
      <c r="AH22" s="90"/>
      <c r="AI22" s="92"/>
      <c r="AJ22" s="36" t="str">
        <f t="shared" si="13"/>
        <v/>
      </c>
      <c r="AK22" s="26"/>
      <c r="AL22" s="36" t="str">
        <f t="shared" si="14"/>
        <v/>
      </c>
      <c r="AM22" s="26"/>
      <c r="AN22" s="36" t="str">
        <f t="shared" si="15"/>
        <v/>
      </c>
      <c r="AO22" s="26"/>
      <c r="AP22" s="36" t="str">
        <f t="shared" si="16"/>
        <v/>
      </c>
      <c r="AQ22" s="26"/>
      <c r="AR22" s="36" t="str">
        <f t="shared" si="17"/>
        <v/>
      </c>
      <c r="AS22" s="99"/>
      <c r="AT22" s="123">
        <v>800</v>
      </c>
      <c r="AU22" s="123">
        <f>ROUND(800/40,2)*1.5*1.25</f>
        <v>37.5</v>
      </c>
      <c r="AV22" s="123"/>
      <c r="AW22" s="123">
        <f t="shared" si="24"/>
        <v>837.5</v>
      </c>
      <c r="AX22" s="124">
        <f t="shared" si="18"/>
        <v>51.93</v>
      </c>
      <c r="AY22" s="124">
        <f t="shared" si="19"/>
        <v>12.14</v>
      </c>
      <c r="AZ22" s="128">
        <v>42</v>
      </c>
      <c r="BA22" s="125">
        <f t="shared" si="20"/>
        <v>25.71</v>
      </c>
      <c r="BB22" s="125">
        <f t="shared" si="21"/>
        <v>0.59</v>
      </c>
      <c r="BC22" s="125">
        <f t="shared" si="22"/>
        <v>11.14</v>
      </c>
      <c r="BD22" s="124">
        <v>40</v>
      </c>
      <c r="BE22" s="124">
        <v>0.85</v>
      </c>
      <c r="BF22" s="124">
        <v>1.65</v>
      </c>
      <c r="BG22" s="127">
        <f t="shared" si="23"/>
        <v>651.49</v>
      </c>
      <c r="BH22" s="124">
        <f t="shared" si="25"/>
        <v>837.5</v>
      </c>
      <c r="BI22" s="124">
        <f t="shared" si="26"/>
        <v>837.5</v>
      </c>
      <c r="BJ22" s="124">
        <f t="shared" si="27"/>
        <v>837.5</v>
      </c>
      <c r="BK22" s="124">
        <f t="shared" si="28"/>
        <v>837.5</v>
      </c>
    </row>
    <row r="23" spans="1:63" ht="15">
      <c r="A23" s="18" t="s">
        <v>83</v>
      </c>
      <c r="B23" s="103"/>
      <c r="C23" s="20"/>
      <c r="D23" s="193"/>
      <c r="E23" s="193"/>
      <c r="F23" s="180">
        <v>40</v>
      </c>
      <c r="G23" s="71"/>
      <c r="H23" s="109">
        <v>780</v>
      </c>
      <c r="I23" s="35" t="str">
        <f t="shared" si="0"/>
        <v/>
      </c>
      <c r="J23" s="110"/>
      <c r="K23" s="111"/>
      <c r="L23" s="109"/>
      <c r="M23" s="35" t="str">
        <f t="shared" si="1"/>
        <v/>
      </c>
      <c r="N23" s="107">
        <f t="shared" si="2"/>
        <v>780</v>
      </c>
      <c r="O23" s="36" t="str">
        <f t="shared" si="3"/>
        <v/>
      </c>
      <c r="P23" s="26"/>
      <c r="Q23" s="36" t="str">
        <f t="shared" si="4"/>
        <v/>
      </c>
      <c r="R23" s="26"/>
      <c r="S23" s="36" t="str">
        <f t="shared" si="5"/>
        <v/>
      </c>
      <c r="T23" s="53"/>
      <c r="U23" s="36" t="str">
        <f t="shared" si="6"/>
        <v/>
      </c>
      <c r="V23" s="26"/>
      <c r="W23" s="36" t="str">
        <f t="shared" si="7"/>
        <v/>
      </c>
      <c r="X23" s="26"/>
      <c r="Y23" s="36" t="str">
        <f t="shared" si="8"/>
        <v/>
      </c>
      <c r="Z23" s="26"/>
      <c r="AA23" s="36" t="str">
        <f t="shared" si="9"/>
        <v/>
      </c>
      <c r="AB23" s="26"/>
      <c r="AC23" s="36" t="str">
        <f t="shared" si="10"/>
        <v/>
      </c>
      <c r="AD23" s="26"/>
      <c r="AE23" s="36" t="str">
        <f t="shared" si="11"/>
        <v/>
      </c>
      <c r="AF23" s="26"/>
      <c r="AG23" s="36" t="str">
        <f t="shared" si="12"/>
        <v/>
      </c>
      <c r="AH23" s="90"/>
      <c r="AI23" s="92"/>
      <c r="AJ23" s="36" t="str">
        <f t="shared" si="13"/>
        <v/>
      </c>
      <c r="AK23" s="26"/>
      <c r="AL23" s="36" t="str">
        <f t="shared" si="14"/>
        <v/>
      </c>
      <c r="AM23" s="26"/>
      <c r="AN23" s="36" t="str">
        <f t="shared" si="15"/>
        <v/>
      </c>
      <c r="AO23" s="26"/>
      <c r="AP23" s="36" t="str">
        <f t="shared" si="16"/>
        <v/>
      </c>
      <c r="AQ23" s="26"/>
      <c r="AR23" s="36" t="str">
        <f t="shared" si="17"/>
        <v/>
      </c>
      <c r="AS23" s="99"/>
      <c r="AT23" s="123">
        <v>780</v>
      </c>
      <c r="AU23" s="123"/>
      <c r="AV23" s="123"/>
      <c r="AW23" s="123">
        <f t="shared" si="24"/>
        <v>780</v>
      </c>
      <c r="AX23" s="124">
        <f t="shared" si="18"/>
        <v>48.36</v>
      </c>
      <c r="AY23" s="124">
        <f t="shared" si="19"/>
        <v>11.31</v>
      </c>
      <c r="AZ23" s="128">
        <v>26</v>
      </c>
      <c r="BA23" s="125">
        <f t="shared" si="20"/>
        <v>23.95</v>
      </c>
      <c r="BB23" s="125">
        <f t="shared" si="21"/>
        <v>0.55000000000000004</v>
      </c>
      <c r="BC23" s="125">
        <f t="shared" si="22"/>
        <v>10.37</v>
      </c>
      <c r="BD23" s="124">
        <v>50</v>
      </c>
      <c r="BE23" s="124">
        <v>0.85</v>
      </c>
      <c r="BF23" s="124">
        <v>1.65</v>
      </c>
      <c r="BG23" s="127">
        <f t="shared" si="23"/>
        <v>606.96</v>
      </c>
      <c r="BH23" s="124">
        <f t="shared" si="25"/>
        <v>780</v>
      </c>
      <c r="BI23" s="124">
        <f t="shared" si="26"/>
        <v>780</v>
      </c>
      <c r="BJ23" s="124">
        <f t="shared" si="27"/>
        <v>780</v>
      </c>
      <c r="BK23" s="124">
        <f t="shared" si="28"/>
        <v>780</v>
      </c>
    </row>
    <row r="24" spans="1:63" ht="15">
      <c r="A24" s="18" t="s">
        <v>84</v>
      </c>
      <c r="B24" s="103"/>
      <c r="C24" s="20"/>
      <c r="D24" s="193"/>
      <c r="E24" s="193"/>
      <c r="F24" s="180">
        <v>40</v>
      </c>
      <c r="G24" s="71"/>
      <c r="H24" s="109">
        <f>ROUND(3500*12/52,2)</f>
        <v>807.69</v>
      </c>
      <c r="I24" s="35" t="str">
        <f t="shared" si="0"/>
        <v/>
      </c>
      <c r="J24" s="110"/>
      <c r="K24" s="111"/>
      <c r="L24" s="109"/>
      <c r="M24" s="35" t="str">
        <f t="shared" si="1"/>
        <v/>
      </c>
      <c r="N24" s="107">
        <f t="shared" si="2"/>
        <v>807.69</v>
      </c>
      <c r="O24" s="36" t="str">
        <f t="shared" si="3"/>
        <v/>
      </c>
      <c r="P24" s="26"/>
      <c r="Q24" s="36" t="str">
        <f t="shared" si="4"/>
        <v/>
      </c>
      <c r="R24" s="26"/>
      <c r="S24" s="36" t="str">
        <f t="shared" si="5"/>
        <v/>
      </c>
      <c r="T24" s="53"/>
      <c r="U24" s="36" t="str">
        <f t="shared" si="6"/>
        <v/>
      </c>
      <c r="V24" s="26"/>
      <c r="W24" s="36" t="str">
        <f t="shared" si="7"/>
        <v/>
      </c>
      <c r="X24" s="26"/>
      <c r="Y24" s="36" t="str">
        <f t="shared" si="8"/>
        <v/>
      </c>
      <c r="Z24" s="26"/>
      <c r="AA24" s="36" t="str">
        <f t="shared" si="9"/>
        <v/>
      </c>
      <c r="AB24" s="26"/>
      <c r="AC24" s="36" t="str">
        <f t="shared" si="10"/>
        <v/>
      </c>
      <c r="AD24" s="26"/>
      <c r="AE24" s="36" t="str">
        <f t="shared" si="11"/>
        <v/>
      </c>
      <c r="AF24" s="26"/>
      <c r="AG24" s="36" t="str">
        <f t="shared" si="12"/>
        <v/>
      </c>
      <c r="AH24" s="90"/>
      <c r="AI24" s="92"/>
      <c r="AJ24" s="36" t="str">
        <f t="shared" si="13"/>
        <v/>
      </c>
      <c r="AK24" s="26"/>
      <c r="AL24" s="36" t="str">
        <f t="shared" si="14"/>
        <v/>
      </c>
      <c r="AM24" s="26"/>
      <c r="AN24" s="36" t="str">
        <f t="shared" si="15"/>
        <v/>
      </c>
      <c r="AO24" s="26"/>
      <c r="AP24" s="36" t="str">
        <f t="shared" si="16"/>
        <v/>
      </c>
      <c r="AQ24" s="26"/>
      <c r="AR24" s="36" t="str">
        <f t="shared" si="17"/>
        <v/>
      </c>
      <c r="AS24" s="99"/>
      <c r="AT24" s="123">
        <f>ROUND(3500*12/52,2)</f>
        <v>807.69</v>
      </c>
      <c r="AU24" s="123"/>
      <c r="AV24" s="123"/>
      <c r="AW24" s="123">
        <f t="shared" si="24"/>
        <v>807.69</v>
      </c>
      <c r="AX24" s="124">
        <f t="shared" si="18"/>
        <v>50.08</v>
      </c>
      <c r="AY24" s="124">
        <f t="shared" si="19"/>
        <v>11.71</v>
      </c>
      <c r="AZ24" s="128">
        <v>86</v>
      </c>
      <c r="BA24" s="125">
        <f t="shared" si="20"/>
        <v>24.8</v>
      </c>
      <c r="BB24" s="125">
        <f t="shared" si="21"/>
        <v>0.56999999999999995</v>
      </c>
      <c r="BC24" s="125">
        <f t="shared" si="22"/>
        <v>10.74</v>
      </c>
      <c r="BD24" s="124">
        <v>50</v>
      </c>
      <c r="BE24" s="124">
        <v>0</v>
      </c>
      <c r="BF24" s="124">
        <v>1.65</v>
      </c>
      <c r="BG24" s="127">
        <f t="shared" si="23"/>
        <v>572.14</v>
      </c>
      <c r="BH24" s="124">
        <f t="shared" si="25"/>
        <v>807.69</v>
      </c>
      <c r="BI24" s="124">
        <f t="shared" si="26"/>
        <v>807.69</v>
      </c>
      <c r="BJ24" s="124">
        <f t="shared" si="27"/>
        <v>807.69</v>
      </c>
      <c r="BK24" s="124">
        <f t="shared" si="28"/>
        <v>807.69</v>
      </c>
    </row>
    <row r="25" spans="1:63" ht="15">
      <c r="A25" s="18" t="s">
        <v>85</v>
      </c>
      <c r="B25" s="103"/>
      <c r="C25" s="20"/>
      <c r="D25" s="193"/>
      <c r="E25" s="193"/>
      <c r="F25" s="180">
        <v>40</v>
      </c>
      <c r="G25" s="71"/>
      <c r="H25" s="109">
        <f>ROUND(4500*12/52,2)</f>
        <v>1038.46</v>
      </c>
      <c r="I25" s="35" t="str">
        <f t="shared" si="0"/>
        <v/>
      </c>
      <c r="J25" s="110">
        <v>5</v>
      </c>
      <c r="K25" s="111">
        <f>ROUND(H25/40,2)*1.5</f>
        <v>38.94</v>
      </c>
      <c r="L25" s="113">
        <f>J25*K25</f>
        <v>194.7</v>
      </c>
      <c r="M25" s="35" t="str">
        <f t="shared" si="1"/>
        <v/>
      </c>
      <c r="N25" s="107">
        <f t="shared" si="2"/>
        <v>1233.1600000000001</v>
      </c>
      <c r="O25" s="36" t="str">
        <f t="shared" si="3"/>
        <v/>
      </c>
      <c r="P25" s="26"/>
      <c r="Q25" s="36" t="str">
        <f t="shared" si="4"/>
        <v/>
      </c>
      <c r="R25" s="26"/>
      <c r="S25" s="36" t="str">
        <f t="shared" si="5"/>
        <v/>
      </c>
      <c r="T25" s="53"/>
      <c r="U25" s="36" t="str">
        <f t="shared" si="6"/>
        <v/>
      </c>
      <c r="V25" s="26"/>
      <c r="W25" s="36" t="str">
        <f t="shared" si="7"/>
        <v/>
      </c>
      <c r="X25" s="26"/>
      <c r="Y25" s="36" t="str">
        <f t="shared" si="8"/>
        <v/>
      </c>
      <c r="Z25" s="26"/>
      <c r="AA25" s="36" t="str">
        <f t="shared" si="9"/>
        <v/>
      </c>
      <c r="AB25" s="26"/>
      <c r="AC25" s="36" t="str">
        <f t="shared" si="10"/>
        <v/>
      </c>
      <c r="AD25" s="26"/>
      <c r="AE25" s="36" t="str">
        <f t="shared" si="11"/>
        <v/>
      </c>
      <c r="AF25" s="26"/>
      <c r="AG25" s="36" t="str">
        <f t="shared" si="12"/>
        <v/>
      </c>
      <c r="AH25" s="90"/>
      <c r="AI25" s="92"/>
      <c r="AJ25" s="36" t="str">
        <f t="shared" si="13"/>
        <v/>
      </c>
      <c r="AK25" s="26"/>
      <c r="AL25" s="36" t="str">
        <f t="shared" si="14"/>
        <v/>
      </c>
      <c r="AM25" s="26"/>
      <c r="AN25" s="36" t="str">
        <f t="shared" si="15"/>
        <v/>
      </c>
      <c r="AO25" s="26"/>
      <c r="AP25" s="36" t="str">
        <f t="shared" si="16"/>
        <v/>
      </c>
      <c r="AQ25" s="26"/>
      <c r="AR25" s="36" t="str">
        <f t="shared" si="17"/>
        <v/>
      </c>
      <c r="AS25" s="99"/>
      <c r="AT25" s="123">
        <f>ROUND(4500*12/52,2)</f>
        <v>1038.46</v>
      </c>
      <c r="AU25" s="123">
        <f>ROUND(AT25/40,2)*1.5*5</f>
        <v>194.7</v>
      </c>
      <c r="AV25" s="123"/>
      <c r="AW25" s="123">
        <f t="shared" si="24"/>
        <v>1233.1600000000001</v>
      </c>
      <c r="AX25" s="124">
        <f t="shared" si="18"/>
        <v>76.459999999999994</v>
      </c>
      <c r="AY25" s="124">
        <f t="shared" si="19"/>
        <v>17.88</v>
      </c>
      <c r="AZ25" s="128">
        <v>81</v>
      </c>
      <c r="BA25" s="125">
        <f t="shared" si="20"/>
        <v>37.86</v>
      </c>
      <c r="BB25" s="125">
        <f t="shared" si="21"/>
        <v>0.86</v>
      </c>
      <c r="BC25" s="125">
        <f t="shared" si="22"/>
        <v>16.399999999999999</v>
      </c>
      <c r="BD25" s="124">
        <v>30</v>
      </c>
      <c r="BE25" s="124">
        <v>0.85</v>
      </c>
      <c r="BF25" s="124">
        <v>1.65</v>
      </c>
      <c r="BG25" s="127">
        <f t="shared" si="23"/>
        <v>970.2</v>
      </c>
      <c r="BH25" s="124">
        <f t="shared" si="25"/>
        <v>1233.1600000000001</v>
      </c>
      <c r="BI25" s="124">
        <f t="shared" si="26"/>
        <v>1233.1600000000001</v>
      </c>
      <c r="BJ25" s="124">
        <f t="shared" si="27"/>
        <v>1233.1600000000001</v>
      </c>
      <c r="BK25" s="124">
        <f t="shared" si="28"/>
        <v>1233.1600000000001</v>
      </c>
    </row>
    <row r="26" spans="1:63" ht="15">
      <c r="A26" s="18" t="s">
        <v>86</v>
      </c>
      <c r="B26" s="103"/>
      <c r="C26" s="20"/>
      <c r="D26" s="193"/>
      <c r="E26" s="193"/>
      <c r="F26" s="180">
        <v>40</v>
      </c>
      <c r="G26" s="71"/>
      <c r="H26" s="117">
        <f>ROUND(78000/52,2)</f>
        <v>1500</v>
      </c>
      <c r="I26" s="35" t="str">
        <f t="shared" si="0"/>
        <v/>
      </c>
      <c r="J26" s="118"/>
      <c r="K26" s="118"/>
      <c r="L26" s="117"/>
      <c r="M26" s="35" t="str">
        <f t="shared" si="1"/>
        <v/>
      </c>
      <c r="N26" s="107">
        <f t="shared" si="2"/>
        <v>1500</v>
      </c>
      <c r="O26" s="47" t="str">
        <f t="shared" si="3"/>
        <v/>
      </c>
      <c r="P26" s="26"/>
      <c r="Q26" s="5" t="str">
        <f t="shared" si="4"/>
        <v/>
      </c>
      <c r="R26" s="26"/>
      <c r="S26" s="36" t="str">
        <f t="shared" si="5"/>
        <v/>
      </c>
      <c r="T26" s="51"/>
      <c r="U26" s="50" t="str">
        <f t="shared" si="6"/>
        <v/>
      </c>
      <c r="V26" s="26"/>
      <c r="W26" s="36" t="str">
        <f t="shared" si="7"/>
        <v/>
      </c>
      <c r="X26" s="26"/>
      <c r="Y26" s="61" t="str">
        <f t="shared" si="8"/>
        <v/>
      </c>
      <c r="Z26" s="38"/>
      <c r="AA26" s="36" t="str">
        <f t="shared" si="9"/>
        <v/>
      </c>
      <c r="AB26" s="38"/>
      <c r="AC26" s="36" t="str">
        <f t="shared" si="10"/>
        <v/>
      </c>
      <c r="AD26" s="38"/>
      <c r="AE26" s="61" t="str">
        <f t="shared" si="11"/>
        <v/>
      </c>
      <c r="AF26" s="38"/>
      <c r="AG26" s="61" t="str">
        <f t="shared" si="12"/>
        <v/>
      </c>
      <c r="AH26" s="90"/>
      <c r="AI26" s="92"/>
      <c r="AJ26" s="36" t="str">
        <f t="shared" si="13"/>
        <v/>
      </c>
      <c r="AK26" s="38"/>
      <c r="AL26" s="61" t="str">
        <f t="shared" si="14"/>
        <v/>
      </c>
      <c r="AM26" s="62"/>
      <c r="AN26" s="61" t="str">
        <f t="shared" si="15"/>
        <v/>
      </c>
      <c r="AO26" s="38"/>
      <c r="AP26" s="36" t="str">
        <f t="shared" si="16"/>
        <v/>
      </c>
      <c r="AQ26" s="38"/>
      <c r="AR26" s="36" t="str">
        <f t="shared" si="17"/>
        <v/>
      </c>
      <c r="AS26" s="99"/>
      <c r="AT26" s="123">
        <f>ROUND(78000/52,2)</f>
        <v>1500</v>
      </c>
      <c r="AU26" s="123"/>
      <c r="AV26" s="123"/>
      <c r="AW26" s="123">
        <f t="shared" si="24"/>
        <v>1500</v>
      </c>
      <c r="AX26" s="124">
        <f t="shared" si="18"/>
        <v>93</v>
      </c>
      <c r="AY26" s="124">
        <f t="shared" si="19"/>
        <v>21.75</v>
      </c>
      <c r="AZ26" s="129">
        <v>89.76</v>
      </c>
      <c r="BA26" s="125">
        <f t="shared" si="20"/>
        <v>46.05</v>
      </c>
      <c r="BB26" s="125">
        <f t="shared" si="21"/>
        <v>1.05</v>
      </c>
      <c r="BC26" s="125">
        <f t="shared" si="22"/>
        <v>19.95</v>
      </c>
      <c r="BD26" s="130">
        <v>80</v>
      </c>
      <c r="BE26" s="130">
        <v>0.85</v>
      </c>
      <c r="BF26" s="130">
        <v>1.65</v>
      </c>
      <c r="BG26" s="127">
        <f t="shared" si="23"/>
        <v>1145.94</v>
      </c>
      <c r="BH26" s="130">
        <f t="shared" si="25"/>
        <v>1500</v>
      </c>
      <c r="BI26" s="131">
        <f t="shared" si="26"/>
        <v>1500</v>
      </c>
      <c r="BJ26" s="131">
        <f t="shared" si="27"/>
        <v>1500</v>
      </c>
      <c r="BK26" s="131">
        <f t="shared" si="28"/>
        <v>1500</v>
      </c>
    </row>
    <row r="27" spans="1:63" ht="15.5" thickBot="1">
      <c r="A27" s="18" t="s">
        <v>14</v>
      </c>
      <c r="B27" s="103"/>
      <c r="C27" s="20"/>
      <c r="D27" s="19"/>
      <c r="E27" s="19"/>
      <c r="F27" s="65"/>
      <c r="G27" s="19"/>
      <c r="H27" s="119">
        <f>SUM(H17:H26)</f>
        <v>8901.4500000000007</v>
      </c>
      <c r="I27" s="37" t="str">
        <f t="shared" si="0"/>
        <v/>
      </c>
      <c r="J27" s="120"/>
      <c r="K27" s="121"/>
      <c r="L27" s="119">
        <f>SUM(L17:L26)</f>
        <v>738.35</v>
      </c>
      <c r="M27" s="37" t="str">
        <f t="shared" si="1"/>
        <v/>
      </c>
      <c r="N27" s="122">
        <f>SUM(N17:N26)</f>
        <v>9639.7999999999993</v>
      </c>
      <c r="O27" s="37" t="str">
        <f t="shared" si="3"/>
        <v/>
      </c>
      <c r="P27" s="70"/>
      <c r="Q27" s="37" t="str">
        <f t="shared" si="4"/>
        <v/>
      </c>
      <c r="R27" s="70"/>
      <c r="S27" s="37" t="str">
        <f t="shared" si="5"/>
        <v/>
      </c>
      <c r="T27" s="70"/>
      <c r="U27" s="37" t="str">
        <f t="shared" si="6"/>
        <v/>
      </c>
      <c r="V27" s="70"/>
      <c r="W27" s="37" t="str">
        <f t="shared" si="7"/>
        <v/>
      </c>
      <c r="X27" s="70"/>
      <c r="Y27" s="37" t="str">
        <f t="shared" si="8"/>
        <v/>
      </c>
      <c r="Z27" s="70"/>
      <c r="AA27" s="37" t="str">
        <f t="shared" si="9"/>
        <v/>
      </c>
      <c r="AB27" s="70"/>
      <c r="AC27" s="37" t="str">
        <f t="shared" si="10"/>
        <v/>
      </c>
      <c r="AD27" s="70"/>
      <c r="AE27" s="37" t="str">
        <f t="shared" si="11"/>
        <v/>
      </c>
      <c r="AF27" s="70"/>
      <c r="AG27" s="37" t="str">
        <f t="shared" si="12"/>
        <v/>
      </c>
      <c r="AH27" s="91"/>
      <c r="AI27" s="70"/>
      <c r="AJ27" s="37" t="str">
        <f t="shared" si="13"/>
        <v/>
      </c>
      <c r="AK27" s="70"/>
      <c r="AL27" s="37" t="str">
        <f t="shared" si="14"/>
        <v/>
      </c>
      <c r="AM27" s="70"/>
      <c r="AN27" s="37" t="str">
        <f t="shared" si="15"/>
        <v/>
      </c>
      <c r="AO27" s="70"/>
      <c r="AP27" s="37" t="str">
        <f t="shared" si="16"/>
        <v/>
      </c>
      <c r="AQ27" s="70"/>
      <c r="AR27" s="37" t="str">
        <f t="shared" si="17"/>
        <v/>
      </c>
      <c r="AS27" s="99"/>
      <c r="AT27" s="135">
        <f>SUM(AT17:AT26)</f>
        <v>8901.4500000000007</v>
      </c>
      <c r="AU27" s="207">
        <f>SUM(AU17:AU26)</f>
        <v>738.35</v>
      </c>
      <c r="AV27" s="141"/>
      <c r="AW27" s="207">
        <f>SUM(AW17:AW26)</f>
        <v>9639.7999999999993</v>
      </c>
      <c r="AX27" s="132">
        <f t="shared" ref="AX27:BK27" si="29">SUM(AX17:AX26)</f>
        <v>597.67999999999995</v>
      </c>
      <c r="AY27" s="132">
        <f t="shared" si="29"/>
        <v>139.77000000000001</v>
      </c>
      <c r="AZ27" s="132">
        <f t="shared" si="29"/>
        <v>772.76</v>
      </c>
      <c r="BA27" s="132">
        <f t="shared" si="29"/>
        <v>295.95999999999998</v>
      </c>
      <c r="BB27" s="132">
        <f t="shared" si="29"/>
        <v>6.76</v>
      </c>
      <c r="BC27" s="132">
        <f t="shared" si="29"/>
        <v>128.19</v>
      </c>
      <c r="BD27" s="132">
        <f t="shared" si="29"/>
        <v>440</v>
      </c>
      <c r="BE27" s="132">
        <f t="shared" si="29"/>
        <v>6.8</v>
      </c>
      <c r="BF27" s="132">
        <f t="shared" si="29"/>
        <v>16.5</v>
      </c>
      <c r="BG27" s="132">
        <f t="shared" si="29"/>
        <v>7235.38</v>
      </c>
      <c r="BH27" s="132">
        <f t="shared" si="29"/>
        <v>9639.7999999999993</v>
      </c>
      <c r="BI27" s="132">
        <f t="shared" si="29"/>
        <v>9639.7999999999993</v>
      </c>
      <c r="BJ27" s="132">
        <f t="shared" si="29"/>
        <v>9639.7999999999993</v>
      </c>
      <c r="BK27" s="132">
        <f t="shared" si="29"/>
        <v>9639.7999999999993</v>
      </c>
    </row>
    <row r="28" spans="1:63" ht="13" thickTop="1"/>
    <row r="30" spans="1:63" ht="13">
      <c r="C30" s="211" t="s">
        <v>25</v>
      </c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R30" s="4"/>
      <c r="S30" s="4"/>
      <c r="T30" s="105" t="s">
        <v>96</v>
      </c>
      <c r="U30" s="4"/>
      <c r="V30" s="4"/>
      <c r="W30" s="4"/>
      <c r="X30" s="105" t="s">
        <v>93</v>
      </c>
      <c r="Y30" s="4"/>
    </row>
    <row r="31" spans="1:63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R31" s="4"/>
      <c r="S31" s="4"/>
      <c r="T31" s="105" t="s">
        <v>97</v>
      </c>
      <c r="U31" s="4"/>
      <c r="V31" s="105" t="s">
        <v>98</v>
      </c>
      <c r="W31" s="4"/>
      <c r="X31" s="105" t="s">
        <v>100</v>
      </c>
      <c r="Y31" s="4"/>
    </row>
    <row r="32" spans="1:63" ht="15.5">
      <c r="C32" s="58"/>
      <c r="D32" s="213" t="s">
        <v>22</v>
      </c>
      <c r="E32" s="213"/>
      <c r="F32" s="58"/>
      <c r="G32" s="213" t="s">
        <v>21</v>
      </c>
      <c r="H32" s="213"/>
      <c r="I32" s="213"/>
      <c r="J32" s="213"/>
      <c r="K32" s="57"/>
      <c r="L32" s="58" t="s">
        <v>23</v>
      </c>
      <c r="M32" s="57"/>
      <c r="N32" s="58" t="s">
        <v>24</v>
      </c>
      <c r="O32" s="57"/>
      <c r="R32" s="4" t="s">
        <v>99</v>
      </c>
      <c r="S32" s="4"/>
      <c r="T32" s="191"/>
      <c r="U32" s="39" t="str">
        <f>IF(OR(T32="",T32=BB36),"","*")</f>
        <v/>
      </c>
      <c r="V32" s="192"/>
      <c r="W32" s="155" t="str">
        <f>IF(OR(V32="",V32=BC36),"","*")</f>
        <v/>
      </c>
      <c r="X32" s="191"/>
      <c r="Y32" s="155" t="str">
        <f>IF(OR(X32="",X32=BD36),"","*")</f>
        <v/>
      </c>
    </row>
    <row r="33" spans="3:59" ht="13">
      <c r="C33" s="4"/>
      <c r="D33" s="4" t="s">
        <v>20</v>
      </c>
      <c r="E33" s="4"/>
      <c r="F33" s="4"/>
      <c r="G33" s="214"/>
      <c r="H33" s="214"/>
      <c r="I33" s="214"/>
      <c r="J33" s="214"/>
      <c r="K33" s="4"/>
      <c r="L33" s="4"/>
      <c r="M33" s="4"/>
      <c r="N33" s="4"/>
      <c r="O33" s="4"/>
      <c r="R33" s="4"/>
      <c r="S33" s="4"/>
      <c r="T33" s="4"/>
      <c r="U33" s="4"/>
      <c r="V33" s="4"/>
      <c r="W33" s="4"/>
      <c r="X33" s="105" t="s">
        <v>101</v>
      </c>
      <c r="Y33" s="4"/>
    </row>
    <row r="34" spans="3:59" ht="15.5">
      <c r="C34" s="4"/>
      <c r="D34" s="208" t="s">
        <v>70</v>
      </c>
      <c r="E34" s="209"/>
      <c r="F34" s="4" t="s">
        <v>53</v>
      </c>
      <c r="G34" s="4"/>
      <c r="H34" s="4"/>
      <c r="I34" s="4"/>
      <c r="J34" s="4"/>
      <c r="K34" s="39"/>
      <c r="L34" s="56"/>
      <c r="M34" s="39" t="str">
        <f>IF(OR(L34="",L34=AU34),"","*")</f>
        <v/>
      </c>
      <c r="N34" s="4"/>
      <c r="O34" s="4"/>
      <c r="R34" s="4" t="s">
        <v>16</v>
      </c>
      <c r="S34" s="4"/>
      <c r="T34" s="191"/>
      <c r="U34" s="155" t="str">
        <f>IF(OR(T34="",T34=BB38),"","*")</f>
        <v/>
      </c>
      <c r="V34" s="202"/>
      <c r="W34" s="155" t="str">
        <f>IF(OR(V34="",V34=BC38),"","*")</f>
        <v/>
      </c>
      <c r="X34" s="191"/>
      <c r="Y34" s="155" t="str">
        <f>IF(OR(X34="",X34=BD38),"","*")</f>
        <v/>
      </c>
      <c r="AU34" s="56">
        <f>AW27</f>
        <v>9639.7999999999993</v>
      </c>
      <c r="AW34" s="4"/>
      <c r="AZ34" s="1"/>
      <c r="BA34" s="1"/>
      <c r="BB34" s="105" t="s">
        <v>96</v>
      </c>
      <c r="BC34" s="4"/>
      <c r="BD34" s="4" t="s">
        <v>93</v>
      </c>
      <c r="BE34" s="1"/>
      <c r="BF34" s="1"/>
      <c r="BG34" s="1"/>
    </row>
    <row r="35" spans="3:59" ht="15">
      <c r="C35" s="4"/>
      <c r="D35" s="208"/>
      <c r="E35" s="209"/>
      <c r="F35" s="59"/>
      <c r="G35" s="4" t="s">
        <v>54</v>
      </c>
      <c r="H35" s="4"/>
      <c r="I35" s="4"/>
      <c r="J35" s="4"/>
      <c r="K35" s="39"/>
      <c r="L35" s="4"/>
      <c r="M35" s="39" t="s">
        <v>52</v>
      </c>
      <c r="N35" s="56"/>
      <c r="O35" s="39" t="str">
        <f t="shared" ref="O35:O44" si="30">IF(OR(N35="",N35=AW35),"","*")</f>
        <v/>
      </c>
      <c r="AU35" s="4"/>
      <c r="AW35" s="56">
        <f>AX27</f>
        <v>597.67999999999995</v>
      </c>
      <c r="AZ35" s="1"/>
      <c r="BA35" s="1"/>
      <c r="BB35" s="105" t="s">
        <v>97</v>
      </c>
      <c r="BC35" s="4" t="s">
        <v>98</v>
      </c>
      <c r="BD35" s="4" t="s">
        <v>100</v>
      </c>
      <c r="BE35" s="1"/>
      <c r="BF35" s="1"/>
      <c r="BG35" s="1"/>
    </row>
    <row r="36" spans="3:59" ht="15">
      <c r="C36" s="4"/>
      <c r="D36" s="4"/>
      <c r="E36" s="4"/>
      <c r="F36" s="59"/>
      <c r="G36" s="4" t="s">
        <v>55</v>
      </c>
      <c r="H36" s="4"/>
      <c r="I36" s="4"/>
      <c r="J36" s="4"/>
      <c r="K36" s="39"/>
      <c r="L36" s="4"/>
      <c r="M36" s="39" t="s">
        <v>52</v>
      </c>
      <c r="N36" s="56"/>
      <c r="O36" s="39" t="str">
        <f t="shared" si="30"/>
        <v/>
      </c>
      <c r="AU36" s="4"/>
      <c r="AW36" s="56">
        <f>AY27</f>
        <v>139.77000000000001</v>
      </c>
      <c r="AZ36" s="1"/>
      <c r="BA36" s="1"/>
      <c r="BB36" s="151">
        <f>BJ27</f>
        <v>9639.7999999999993</v>
      </c>
      <c r="BC36" s="150">
        <f>BJ15</f>
        <v>6.0000000000000001E-3</v>
      </c>
      <c r="BD36" s="153">
        <f>BB36*BC36</f>
        <v>57.84</v>
      </c>
      <c r="BE36" s="1"/>
      <c r="BF36" s="1"/>
      <c r="BG36" s="1"/>
    </row>
    <row r="37" spans="3:59" ht="15">
      <c r="C37" s="4"/>
      <c r="D37" s="4"/>
      <c r="E37" s="4"/>
      <c r="F37" s="59"/>
      <c r="G37" s="4" t="s">
        <v>56</v>
      </c>
      <c r="H37" s="4"/>
      <c r="I37" s="4"/>
      <c r="J37" s="4"/>
      <c r="K37" s="39"/>
      <c r="L37" s="4"/>
      <c r="M37" s="39" t="s">
        <v>52</v>
      </c>
      <c r="N37" s="56"/>
      <c r="O37" s="39" t="str">
        <f t="shared" si="30"/>
        <v/>
      </c>
      <c r="AU37" s="4"/>
      <c r="AW37" s="56">
        <f>AZ27</f>
        <v>772.76</v>
      </c>
      <c r="AZ37" s="1"/>
      <c r="BA37" s="1"/>
      <c r="BB37" s="152"/>
      <c r="BC37" s="4"/>
      <c r="BD37" s="154" t="s">
        <v>101</v>
      </c>
      <c r="BE37" s="1"/>
      <c r="BF37" s="1"/>
      <c r="BG37" s="1"/>
    </row>
    <row r="38" spans="3:59" ht="15">
      <c r="C38" s="4"/>
      <c r="D38" s="4"/>
      <c r="E38" s="4"/>
      <c r="F38" s="4"/>
      <c r="G38" s="4" t="s">
        <v>57</v>
      </c>
      <c r="H38" s="4"/>
      <c r="I38" s="4"/>
      <c r="J38" s="4"/>
      <c r="K38" s="39"/>
      <c r="L38" s="4"/>
      <c r="M38" s="4"/>
      <c r="N38" s="56"/>
      <c r="O38" s="39" t="str">
        <f t="shared" si="30"/>
        <v/>
      </c>
      <c r="AU38" s="4"/>
      <c r="AW38" s="56">
        <f>BA27</f>
        <v>295.95999999999998</v>
      </c>
      <c r="AZ38" s="1"/>
      <c r="BA38" s="1"/>
      <c r="BB38" s="152">
        <f>BK27</f>
        <v>9639.7999999999993</v>
      </c>
      <c r="BC38" s="201">
        <f>BK15</f>
        <v>3.6784999999999998E-2</v>
      </c>
      <c r="BD38" s="153">
        <f>BB38*BC38</f>
        <v>354.6</v>
      </c>
      <c r="BE38" s="1"/>
      <c r="BF38" s="1"/>
      <c r="BG38" s="1"/>
    </row>
    <row r="39" spans="3:59" ht="15">
      <c r="C39" s="4"/>
      <c r="D39" s="208"/>
      <c r="E39" s="209"/>
      <c r="F39" s="59"/>
      <c r="G39" s="4" t="s">
        <v>58</v>
      </c>
      <c r="H39" s="4"/>
      <c r="I39" s="4"/>
      <c r="J39" s="4"/>
      <c r="K39" s="39"/>
      <c r="L39" s="4"/>
      <c r="M39" s="39" t="s">
        <v>52</v>
      </c>
      <c r="N39" s="56"/>
      <c r="O39" s="39" t="str">
        <f t="shared" si="30"/>
        <v/>
      </c>
      <c r="AU39" s="4"/>
      <c r="AW39" s="56">
        <f>BB27</f>
        <v>6.76</v>
      </c>
    </row>
    <row r="40" spans="3:59" ht="15">
      <c r="C40" s="4"/>
      <c r="D40" s="4"/>
      <c r="E40" s="4"/>
      <c r="F40" s="59"/>
      <c r="G40" s="4" t="s">
        <v>59</v>
      </c>
      <c r="H40" s="4"/>
      <c r="I40" s="4"/>
      <c r="J40" s="4"/>
      <c r="K40" s="39"/>
      <c r="L40" s="4"/>
      <c r="M40" s="39" t="s">
        <v>52</v>
      </c>
      <c r="N40" s="56"/>
      <c r="O40" s="39" t="str">
        <f t="shared" si="30"/>
        <v/>
      </c>
      <c r="AU40" s="4"/>
      <c r="AW40" s="56">
        <f>BC27</f>
        <v>128.19</v>
      </c>
    </row>
    <row r="41" spans="3:59" ht="15">
      <c r="C41" s="4"/>
      <c r="D41" s="4"/>
      <c r="E41" s="4"/>
      <c r="F41" s="59"/>
      <c r="G41" s="4" t="s">
        <v>60</v>
      </c>
      <c r="H41" s="4"/>
      <c r="I41" s="4"/>
      <c r="J41" s="4"/>
      <c r="K41" s="39"/>
      <c r="L41" s="4"/>
      <c r="M41" s="39" t="s">
        <v>52</v>
      </c>
      <c r="N41" s="56"/>
      <c r="O41" s="39" t="str">
        <f t="shared" si="30"/>
        <v/>
      </c>
      <c r="AU41" s="4"/>
      <c r="AW41" s="56">
        <f>BD27</f>
        <v>440</v>
      </c>
    </row>
    <row r="42" spans="3:59" ht="15">
      <c r="C42" s="4"/>
      <c r="D42" s="4"/>
      <c r="E42" s="4"/>
      <c r="F42" s="4"/>
      <c r="G42" s="4" t="s">
        <v>61</v>
      </c>
      <c r="H42" s="4"/>
      <c r="I42" s="4"/>
      <c r="J42" s="4"/>
      <c r="K42" s="39"/>
      <c r="L42" s="4"/>
      <c r="M42" s="4"/>
      <c r="N42" s="56"/>
      <c r="O42" s="39" t="str">
        <f t="shared" si="30"/>
        <v/>
      </c>
      <c r="AU42" s="4"/>
      <c r="AW42" s="56">
        <f>BE27</f>
        <v>6.8</v>
      </c>
    </row>
    <row r="43" spans="3:59" ht="15">
      <c r="C43" s="4"/>
      <c r="D43" s="4"/>
      <c r="E43" s="4"/>
      <c r="F43" s="4"/>
      <c r="G43" s="4" t="s">
        <v>62</v>
      </c>
      <c r="H43" s="4"/>
      <c r="I43" s="4"/>
      <c r="J43" s="4"/>
      <c r="K43" s="39"/>
      <c r="L43" s="4"/>
      <c r="M43" s="39" t="s">
        <v>52</v>
      </c>
      <c r="N43" s="56"/>
      <c r="O43" s="39" t="str">
        <f t="shared" si="30"/>
        <v/>
      </c>
      <c r="AU43" s="4"/>
      <c r="AW43" s="56">
        <f>BF27</f>
        <v>16.5</v>
      </c>
    </row>
    <row r="44" spans="3:59" ht="15">
      <c r="C44" s="4"/>
      <c r="D44" s="4"/>
      <c r="E44" s="4"/>
      <c r="F44" s="4"/>
      <c r="G44" s="4" t="s">
        <v>63</v>
      </c>
      <c r="H44" s="4"/>
      <c r="I44" s="4"/>
      <c r="J44" s="4"/>
      <c r="K44" s="39"/>
      <c r="L44" s="4"/>
      <c r="M44" s="4"/>
      <c r="N44" s="56"/>
      <c r="O44" s="39" t="str">
        <f t="shared" si="30"/>
        <v/>
      </c>
      <c r="AU44" s="4"/>
      <c r="AW44" s="56">
        <f>BG27</f>
        <v>7235.38</v>
      </c>
    </row>
    <row r="45" spans="3:59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AU45" s="4"/>
      <c r="AW45" s="4"/>
    </row>
    <row r="46" spans="3:59" ht="15">
      <c r="C46" s="4"/>
      <c r="D46" s="210" t="s">
        <v>71</v>
      </c>
      <c r="E46" s="209"/>
      <c r="F46" s="4" t="s">
        <v>67</v>
      </c>
      <c r="G46" s="4"/>
      <c r="H46" s="4"/>
      <c r="I46" s="4"/>
      <c r="J46" s="4"/>
      <c r="K46" s="39"/>
      <c r="L46" s="56"/>
      <c r="M46" s="39" t="str">
        <f>IF(OR(L46="",L46=AU46),"","*")</f>
        <v/>
      </c>
      <c r="N46" s="4"/>
      <c r="O46" s="4"/>
      <c r="AU46" s="56">
        <f>SUM(AW47:AW50)</f>
        <v>1149.8900000000001</v>
      </c>
      <c r="AW46" s="4"/>
    </row>
    <row r="47" spans="3:59" ht="15">
      <c r="C47" s="4"/>
      <c r="D47" s="4"/>
      <c r="E47" s="4"/>
      <c r="F47" s="59"/>
      <c r="G47" s="4" t="s">
        <v>54</v>
      </c>
      <c r="H47" s="4"/>
      <c r="I47" s="4"/>
      <c r="J47" s="4"/>
      <c r="K47" s="39"/>
      <c r="L47" s="4"/>
      <c r="M47" s="39" t="s">
        <v>52</v>
      </c>
      <c r="N47" s="56"/>
      <c r="O47" s="39" t="str">
        <f>IF(OR(N47="",N47=AW47),"","*")</f>
        <v/>
      </c>
      <c r="AU47" s="4"/>
      <c r="AW47" s="56">
        <f>BH27*BH15</f>
        <v>597.66999999999996</v>
      </c>
    </row>
    <row r="48" spans="3:59" ht="15">
      <c r="C48" s="4"/>
      <c r="D48" s="4"/>
      <c r="E48" s="4"/>
      <c r="F48" s="59"/>
      <c r="G48" s="4" t="s">
        <v>55</v>
      </c>
      <c r="H48" s="4"/>
      <c r="I48" s="4"/>
      <c r="J48" s="4"/>
      <c r="K48" s="39"/>
      <c r="L48" s="4"/>
      <c r="M48" s="39" t="s">
        <v>52</v>
      </c>
      <c r="N48" s="56"/>
      <c r="O48" s="39" t="str">
        <f>IF(OR(N48="",N48=AW48),"","*")</f>
        <v/>
      </c>
      <c r="AU48" s="4"/>
      <c r="AW48" s="56">
        <f>BI27*BI15</f>
        <v>139.78</v>
      </c>
    </row>
    <row r="49" spans="3:49" ht="15">
      <c r="C49" s="4"/>
      <c r="D49" s="4"/>
      <c r="E49" s="4"/>
      <c r="F49" s="59"/>
      <c r="G49" s="4" t="s">
        <v>68</v>
      </c>
      <c r="H49" s="4"/>
      <c r="I49" s="4"/>
      <c r="J49" s="4"/>
      <c r="K49" s="39"/>
      <c r="L49" s="4"/>
      <c r="M49" s="39" t="s">
        <v>52</v>
      </c>
      <c r="N49" s="56"/>
      <c r="O49" s="39" t="str">
        <f>IF(OR(N49="",N49=AW49),"","*")</f>
        <v/>
      </c>
      <c r="AU49" s="4"/>
      <c r="AW49" s="56">
        <f>BJ27*BJ15</f>
        <v>57.84</v>
      </c>
    </row>
    <row r="50" spans="3:49" ht="15">
      <c r="C50" s="4"/>
      <c r="D50" s="4"/>
      <c r="E50" s="4"/>
      <c r="F50" s="4"/>
      <c r="G50" s="4" t="s">
        <v>69</v>
      </c>
      <c r="H50" s="4"/>
      <c r="I50" s="4"/>
      <c r="J50" s="4"/>
      <c r="K50" s="39"/>
      <c r="L50" s="4"/>
      <c r="M50" s="4"/>
      <c r="N50" s="56"/>
      <c r="O50" s="39" t="str">
        <f>IF(OR(N50="",N50=AW50),"","*")</f>
        <v/>
      </c>
      <c r="AU50" s="4"/>
      <c r="AW50" s="56">
        <f>BK27*BK15</f>
        <v>354.6</v>
      </c>
    </row>
    <row r="51" spans="3:49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AU51" s="4"/>
      <c r="AW51" s="4"/>
    </row>
    <row r="52" spans="3:49" ht="15">
      <c r="C52" s="4"/>
      <c r="D52" s="210" t="s">
        <v>64</v>
      </c>
      <c r="E52" s="209"/>
      <c r="F52" s="4" t="s">
        <v>65</v>
      </c>
      <c r="G52" s="4"/>
      <c r="H52" s="4"/>
      <c r="I52" s="4"/>
      <c r="J52" s="4"/>
      <c r="K52" s="39"/>
      <c r="L52" s="56"/>
      <c r="M52" s="39" t="str">
        <f>IF(OR(L52="",L52=AU52),"","*")</f>
        <v/>
      </c>
      <c r="N52" s="4"/>
      <c r="O52" s="4"/>
      <c r="AU52" s="56">
        <f>BG27</f>
        <v>7235.38</v>
      </c>
      <c r="AW52" s="4"/>
    </row>
    <row r="53" spans="3:49" ht="15">
      <c r="C53" s="4"/>
      <c r="D53" s="4"/>
      <c r="E53" s="4"/>
      <c r="F53" s="59"/>
      <c r="G53" s="4" t="s">
        <v>66</v>
      </c>
      <c r="H53" s="4"/>
      <c r="I53" s="4"/>
      <c r="J53" s="4"/>
      <c r="K53" s="39"/>
      <c r="L53" s="4"/>
      <c r="M53" s="39" t="s">
        <v>52</v>
      </c>
      <c r="N53" s="56"/>
      <c r="O53" s="39" t="str">
        <f>IF(OR(N53="",N53=AW53),"","*")</f>
        <v/>
      </c>
      <c r="AU53" s="4"/>
      <c r="AW53" s="56">
        <f>BG27</f>
        <v>7235.38</v>
      </c>
    </row>
    <row r="54" spans="3:49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3:49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3:49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</sheetData>
  <sheetProtection password="F4C4" sheet="1" objects="1" scenarios="1"/>
  <mergeCells count="34">
    <mergeCell ref="B1:K1"/>
    <mergeCell ref="A7:AR7"/>
    <mergeCell ref="A8:AJ8"/>
    <mergeCell ref="A9:AJ9"/>
    <mergeCell ref="A10:AR10"/>
    <mergeCell ref="AK13:AR13"/>
    <mergeCell ref="F14:F16"/>
    <mergeCell ref="G32:J32"/>
    <mergeCell ref="D11:H11"/>
    <mergeCell ref="D13:D16"/>
    <mergeCell ref="E13:E16"/>
    <mergeCell ref="F13:I13"/>
    <mergeCell ref="J13:M13"/>
    <mergeCell ref="J14:J16"/>
    <mergeCell ref="K14:K16"/>
    <mergeCell ref="P14:R14"/>
    <mergeCell ref="P13:AF13"/>
    <mergeCell ref="AH13:AJ13"/>
    <mergeCell ref="BH14:BK14"/>
    <mergeCell ref="D46:E46"/>
    <mergeCell ref="D52:E52"/>
    <mergeCell ref="G33:J33"/>
    <mergeCell ref="D34:E34"/>
    <mergeCell ref="D35:E35"/>
    <mergeCell ref="D39:E39"/>
    <mergeCell ref="AF16:AG16"/>
    <mergeCell ref="C30:O30"/>
    <mergeCell ref="D32:E32"/>
    <mergeCell ref="A15:C15"/>
    <mergeCell ref="P15:R15"/>
    <mergeCell ref="AD15:AE15"/>
    <mergeCell ref="A16:C16"/>
    <mergeCell ref="AD16:AE16"/>
    <mergeCell ref="G14:G16"/>
  </mergeCells>
  <phoneticPr fontId="16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Excel Instructions</vt:lpstr>
      <vt:lpstr>Continuing Problem-A</vt:lpstr>
      <vt:lpstr>CPP-A-2</vt:lpstr>
      <vt:lpstr>CPP-A-3</vt:lpstr>
      <vt:lpstr>CPP-A-4</vt:lpstr>
      <vt:lpstr>CPP-A-5</vt:lpstr>
      <vt:lpstr>CPP-A-6</vt:lpstr>
      <vt:lpstr>Continuing Problem-B</vt:lpstr>
      <vt:lpstr>CPP-B-2</vt:lpstr>
      <vt:lpstr>CPP-B-3</vt:lpstr>
      <vt:lpstr>CPP-B-4</vt:lpstr>
      <vt:lpstr>CPP-B-5</vt:lpstr>
      <vt:lpstr>CPP-B-6</vt:lpstr>
    </vt:vector>
  </TitlesOfParts>
  <Company>Spokane Falls Community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css-stuservtest</dc:creator>
  <cp:lastModifiedBy>Bernie</cp:lastModifiedBy>
  <cp:lastPrinted>2015-05-04T20:39:08Z</cp:lastPrinted>
  <dcterms:created xsi:type="dcterms:W3CDTF">2002-08-15T14:59:01Z</dcterms:created>
  <dcterms:modified xsi:type="dcterms:W3CDTF">2015-08-05T17:58:42Z</dcterms:modified>
</cp:coreProperties>
</file>